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NET1.cec.eu.int\homes\102\marijda\My Documents\NTS_RA_draft_specification_and_templates\NTS_RA_draft_specification_and_templates_2\"/>
    </mc:Choice>
  </mc:AlternateContent>
  <bookViews>
    <workbookView xWindow="-98" yWindow="-98" windowWidth="15630" windowHeight="5273" tabRatio="577"/>
  </bookViews>
  <sheets>
    <sheet name="NTS" sheetId="1" r:id="rId1"/>
    <sheet name="Purpose of the project" sheetId="6" r:id="rId2"/>
    <sheet name="Expected harms" sheetId="3" r:id="rId3"/>
    <sheet name="Fate of animals kept alive" sheetId="4" r:id="rId4"/>
    <sheet name="Translations" sheetId="2" r:id="rId5"/>
    <sheet name="Configuration" sheetId="5" r:id="rId6"/>
  </sheets>
  <definedNames>
    <definedName name="_xlnm._FilterDatabase" localSheetId="0" hidden="1">NTS!$G$1:$G$54</definedName>
    <definedName name="additional_fields_tinstr">Translations!$B$198</definedName>
    <definedName name="additional_fields_title">Translations!$B$197</definedName>
    <definedName name="application_of_the_three_rs_label">Translations!$B$143</definedName>
    <definedName name="at_least_one_keyword_mssg">Translations!$B$133</definedName>
    <definedName name="at_least_one_purpose_mssg">Translations!$B$132</definedName>
    <definedName name="at_least_one_reason_mssg">Translations!$B$156</definedName>
    <definedName name="at_least_one_row_mssg">Translations!$B$163</definedName>
    <definedName name="basicResearch_label">Translations!$B$119</definedName>
    <definedName name="choice_mandatory">Configuration!$B$3:$C$3</definedName>
    <definedName name="choice_optional">Configuration!$B$4:$C$4</definedName>
    <definedName name="choiceCode">Translations!$A$62:$A$64</definedName>
    <definedName name="choiceTranslated">Translations!$B$62:$B$64</definedName>
    <definedName name="choiceTranslations">Translations!$D$62:$AB$64</definedName>
    <definedName name="compulsory_field_for_some_tinstr">Translations!$B$186</definedName>
    <definedName name="compulsory_field_tinstr">Translations!$B$185</definedName>
    <definedName name="countries">Configuration!$A$11:$A$38</definedName>
    <definedName name="country_label">Translations!$B$111</definedName>
    <definedName name="custom_severity_label">Translations!$B$220</definedName>
    <definedName name="date_format_tinstr">Translations!$B$196</definedName>
    <definedName name="duration_unit_label">Translations!$B$209</definedName>
    <definedName name="education_label">Translations!$B$127</definedName>
    <definedName name="efficacyTesting_label">Translations!$B$122</definedName>
    <definedName name="euSubmission_instr">Translations!$B$212</definedName>
    <definedName name="euSubmission_label">Translations!$B$113</definedName>
    <definedName name="expectedHarms_instr">Translations!$B$177</definedName>
    <definedName name="expectedHarms_label">Translations!$B$140</definedName>
    <definedName name="expectedHarms_tinstr">Translations!$B$194</definedName>
    <definedName name="expectedImpacts_instr">Translations!$B$176</definedName>
    <definedName name="expectedImpacts_label">Translations!$B$139</definedName>
    <definedName name="fateList_instr">Translations!$B$178</definedName>
    <definedName name="fateList_label">Translations!$B$141</definedName>
    <definedName name="fateList_tinstr">Translations!$B$195</definedName>
    <definedName name="fateReasons_instr">Translations!$B$179</definedName>
    <definedName name="fateReasons_label">Translations!$B$142</definedName>
    <definedName name="field1_label">Translations!$B$203</definedName>
    <definedName name="field2_label">Translations!$B$204</definedName>
    <definedName name="field3_label">Translations!$B$205</definedName>
    <definedName name="field4_label">Translations!$B$206</definedName>
    <definedName name="field5_label">Translations!$B$207</definedName>
    <definedName name="fill_all_cells_mssg">Translations!$B$211</definedName>
    <definedName name="forensic_label">Translations!$B$129</definedName>
    <definedName name="icd_code">Configuration!#REF!</definedName>
    <definedName name="ICD_code_instr">Translations!$B$213</definedName>
    <definedName name="ICD_code_label">Translations!$B$202</definedName>
    <definedName name="ICD_code_tinstr">Translations!$B$214</definedName>
    <definedName name="inconsistent_value_mssg">Translations!$B$157</definedName>
    <definedName name="internal_national_field_1_label">Translations!$B$203</definedName>
    <definedName name="internal_national_field_2_label">Translations!$B$204</definedName>
    <definedName name="Internal_national_field_3_label">Translations!$B$205</definedName>
    <definedName name="internal_national_field_instr">Translations!#REF!</definedName>
    <definedName name="keyword_label">Translations!$B$117</definedName>
    <definedName name="keyword_tinstr">Translations!$B$210</definedName>
    <definedName name="keywords_label">Translations!$B$116</definedName>
    <definedName name="language">NTS!$B$3</definedName>
    <definedName name="language_label">Translations!$B$112</definedName>
    <definedName name="language_or_default">Configuration!$B$2</definedName>
    <definedName name="languages">Translations!$D$2:$AB$2</definedName>
    <definedName name="maintenance_label">Translations!$B$130</definedName>
    <definedName name="maxLength_100_tinstr">Translations!$B$187</definedName>
    <definedName name="maxLength_2500_tinstr">Translations!$B$191</definedName>
    <definedName name="maxLength_50_tinstr">Translations!$B$190</definedName>
    <definedName name="maxLength_500_tinstr">Translations!$B$192</definedName>
    <definedName name="mild_label">Translations!$B$166</definedName>
    <definedName name="moderate_label">Translations!$B$167</definedName>
    <definedName name="nhpUse_label">Translations!$B$153</definedName>
    <definedName name="no">Translations!$C$64</definedName>
    <definedName name="nonRecovery_label">Translations!$B$165</definedName>
    <definedName name="not_applicable_mssg">Translations!$B$159</definedName>
    <definedName name="not_published_instr">Translations!$B$221</definedName>
    <definedName name="NTS_title">Translations!$B$131</definedName>
    <definedName name="ntsId_instr">Translations!$B$218</definedName>
    <definedName name="ntsId_label">Translations!$B$217</definedName>
    <definedName name="ntsId_tinstr">Translations!$B$219</definedName>
    <definedName name="ntsNationalId_instr">Translations!$B$193</definedName>
    <definedName name="ntsNationalId_label">Translations!$B$158</definedName>
    <definedName name="ntsPreviousVersionExternalLink_instr">Translations!$B$216</definedName>
    <definedName name="ntsPreviousVersionExternalLink_label">Translations!$B$215</definedName>
    <definedName name="numbers_per_fate_label">Translations!$B$184</definedName>
    <definedName name="numbers_per_severity_label">Translations!$B$183</definedName>
    <definedName name="objectives_and_benefits_label">Translations!$B$134</definedName>
    <definedName name="other_label">Translations!$B$154</definedName>
    <definedName name="otherExplanation_label">Translations!$B$155</definedName>
    <definedName name="otherExplanation_tinstr">Translations!#REF!</definedName>
    <definedName name="potentialBenefits_instr">Translations!$B$174</definedName>
    <definedName name="potentialBenefits_label">Translations!$B$136</definedName>
    <definedName name="predicted_harms_label">Translations!$B$137</definedName>
    <definedName name="preservation_label">Translations!$B$126</definedName>
    <definedName name="procedures_instr">Translations!$B$175</definedName>
    <definedName name="procedures_label">Translations!$B$138</definedName>
    <definedName name="project_approval_date">Configuration!$B$8</definedName>
    <definedName name="project_selected_for_ra_label">Translations!$B$148</definedName>
    <definedName name="project_start_end_date">Configuration!$B$7</definedName>
    <definedName name="projectApprovalDate_label">Translations!$B$201</definedName>
    <definedName name="projectDuration_instr">Translations!$B$188</definedName>
    <definedName name="projectDuration_label">Translations!$B$115</definedName>
    <definedName name="projectDuration_tinstr">Translations!$B$189</definedName>
    <definedName name="projectEndDate_label">Translations!$B$200</definedName>
    <definedName name="projectObjectives_instr">Translations!$B$173</definedName>
    <definedName name="projectObjectives_label">Translations!$B$135</definedName>
    <definedName name="projectPurposes_label">Translations!$B$118</definedName>
    <definedName name="projectPurposes_tinstr">Translations!$B$208</definedName>
    <definedName name="projectStartDate_label">Translations!$B$199</definedName>
    <definedName name="projectTitle_label">Translations!$B$114</definedName>
    <definedName name="protection_label">Translations!$B$125</definedName>
    <definedName name="purposeCategories">Translations!$A$4:$A$14</definedName>
    <definedName name="purposeCategoryTranslations">Translations!$D$4:$AB$14</definedName>
    <definedName name="purposeCode">Translations!$A$16:$A$60</definedName>
    <definedName name="purposeShown">Translations!$C$17:$C$59</definedName>
    <definedName name="purposeTranslations">Translations!$D$16:$AB$60</definedName>
    <definedName name="qualityControl_label">Translations!$B$121</definedName>
    <definedName name="ra_reasons_label">Translations!$B$151</definedName>
    <definedName name="raDeadline_label">Translations!$B$150</definedName>
    <definedName name="raSelected_label">Translations!$B$149</definedName>
    <definedName name="reduction_instr">Translations!$B$181</definedName>
    <definedName name="reduction_label">Translations!$B$145</definedName>
    <definedName name="refinement_instr">Translations!$B$182</definedName>
    <definedName name="refinement_label">Translations!$B$146</definedName>
    <definedName name="rehomed_label">Translations!$B$172</definedName>
    <definedName name="replacement_instr">Translations!$B$180</definedName>
    <definedName name="replacement_label">Translations!$B$144</definedName>
    <definedName name="returned_label">Translations!$B$171</definedName>
    <definedName name="reused_label">Translations!$B$170</definedName>
    <definedName name="routineProduction_label">Translations!$B$124</definedName>
    <definedName name="select_species_mssg">Translations!$B$162</definedName>
    <definedName name="selection_for_RA">Configuration!$B$6</definedName>
    <definedName name="severe_label">Translations!$B$168</definedName>
    <definedName name="severeProcedure_label">Translations!$B$152</definedName>
    <definedName name="species_label">Translations!$B$164</definedName>
    <definedName name="speciesChoiceExplanation_instr">Translations!#REF!</definedName>
    <definedName name="speciesChoiceExplanation_label">Translations!$B$147</definedName>
    <definedName name="speciesCode">Translations!$A$66:$A$108</definedName>
    <definedName name="speciesShown">Translations!$C$67:$C$108</definedName>
    <definedName name="speciesTranslated">Translations!$B$66:$B$108</definedName>
    <definedName name="speciesTranslations">Translations!$D$66:$AB$108</definedName>
    <definedName name="template_version">Configuration!$B$5</definedName>
    <definedName name="text">Translations!$A$110:$A$225</definedName>
    <definedName name="textTranslations">Translations!$D$110:$AB$225</definedName>
    <definedName name="to_be_filled_in_by_authority_mssg">Translations!$B$160</definedName>
    <definedName name="total_number_label">Translations!$B$169</definedName>
    <definedName name="total_number_mssg">Translations!$B$161</definedName>
    <definedName name="toxicityTesting_label">Translations!$B$123</definedName>
    <definedName name="training_label">Translations!$B$128</definedName>
    <definedName name="translationalResearch_label">Translations!$B$120</definedName>
    <definedName name="yes">Translations!$C$63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5" i="4" l="1"/>
  <c r="E6" i="4"/>
  <c r="E7" i="4"/>
  <c r="E8" i="4"/>
  <c r="E9" i="4"/>
  <c r="E10" i="4"/>
  <c r="E11" i="4"/>
  <c r="E12" i="4"/>
  <c r="E13" i="4"/>
  <c r="E14" i="4"/>
  <c r="E15" i="4"/>
  <c r="E16" i="4"/>
  <c r="E17" i="4"/>
  <c r="E18" i="4"/>
  <c r="E19" i="4"/>
  <c r="E20" i="4"/>
  <c r="E21" i="4"/>
  <c r="E22" i="4"/>
  <c r="E23" i="4"/>
  <c r="E24" i="4"/>
  <c r="E25" i="4"/>
  <c r="E26" i="4"/>
  <c r="E27" i="4"/>
  <c r="E28" i="4"/>
  <c r="E29" i="4"/>
  <c r="E30" i="4"/>
  <c r="E31" i="4"/>
  <c r="E32" i="4"/>
  <c r="E33" i="4"/>
  <c r="E34" i="4"/>
  <c r="E35" i="4"/>
  <c r="E36" i="4"/>
  <c r="E37" i="4"/>
  <c r="E38" i="4"/>
  <c r="E39" i="4"/>
  <c r="E40" i="4"/>
  <c r="E41" i="4"/>
  <c r="E42" i="4"/>
  <c r="E4" i="4"/>
  <c r="H5" i="3"/>
  <c r="H6" i="3"/>
  <c r="H7" i="3"/>
  <c r="H8" i="3"/>
  <c r="H9" i="3"/>
  <c r="H10" i="3"/>
  <c r="H11" i="3"/>
  <c r="H12" i="3"/>
  <c r="H13" i="3"/>
  <c r="H14" i="3"/>
  <c r="H15" i="3"/>
  <c r="H16" i="3"/>
  <c r="H17" i="3"/>
  <c r="H18" i="3"/>
  <c r="H19" i="3"/>
  <c r="H20" i="3"/>
  <c r="H21" i="3"/>
  <c r="H22" i="3"/>
  <c r="H23" i="3"/>
  <c r="H24" i="3"/>
  <c r="H25" i="3"/>
  <c r="H26" i="3"/>
  <c r="H27" i="3"/>
  <c r="H28" i="3"/>
  <c r="H29" i="3"/>
  <c r="H30" i="3"/>
  <c r="H31" i="3"/>
  <c r="H32" i="3"/>
  <c r="H33" i="3"/>
  <c r="H34" i="3"/>
  <c r="H35" i="3"/>
  <c r="H36" i="3"/>
  <c r="H37" i="3"/>
  <c r="H38" i="3"/>
  <c r="H39" i="3"/>
  <c r="H40" i="3"/>
  <c r="H41" i="3"/>
  <c r="H42" i="3"/>
  <c r="G5" i="3"/>
  <c r="G6" i="3"/>
  <c r="G7" i="3"/>
  <c r="G8" i="3"/>
  <c r="G9" i="3"/>
  <c r="G10" i="3"/>
  <c r="G11" i="3"/>
  <c r="G12" i="3"/>
  <c r="G13" i="3"/>
  <c r="G14" i="3"/>
  <c r="G15" i="3"/>
  <c r="G16" i="3"/>
  <c r="G17" i="3"/>
  <c r="G18" i="3"/>
  <c r="G19" i="3"/>
  <c r="G20" i="3"/>
  <c r="G21" i="3"/>
  <c r="G22" i="3"/>
  <c r="G23" i="3"/>
  <c r="G24" i="3"/>
  <c r="G25" i="3"/>
  <c r="G26" i="3"/>
  <c r="G27" i="3"/>
  <c r="G28" i="3"/>
  <c r="G29" i="3"/>
  <c r="G30" i="3"/>
  <c r="G31" i="3"/>
  <c r="G32" i="3"/>
  <c r="G33" i="3"/>
  <c r="G34" i="3"/>
  <c r="G35" i="3"/>
  <c r="G36" i="3"/>
  <c r="G37" i="3"/>
  <c r="G38" i="3"/>
  <c r="G39" i="3"/>
  <c r="G40" i="3"/>
  <c r="G41" i="3"/>
  <c r="G42" i="3"/>
  <c r="B6" i="1"/>
  <c r="B60" i="1"/>
  <c r="B58" i="1"/>
  <c r="B59" i="1"/>
  <c r="B4" i="1"/>
  <c r="F5" i="4" l="1"/>
  <c r="F6" i="4"/>
  <c r="F7" i="4"/>
  <c r="F8" i="4"/>
  <c r="F9" i="4"/>
  <c r="F10" i="4"/>
  <c r="F11" i="4"/>
  <c r="F12" i="4"/>
  <c r="F13" i="4"/>
  <c r="F14" i="4"/>
  <c r="F15" i="4"/>
  <c r="F16" i="4"/>
  <c r="F17" i="4"/>
  <c r="F18" i="4"/>
  <c r="F19" i="4"/>
  <c r="F20" i="4"/>
  <c r="F21" i="4"/>
  <c r="F22" i="4"/>
  <c r="F23" i="4"/>
  <c r="F24" i="4"/>
  <c r="F25" i="4"/>
  <c r="F26" i="4"/>
  <c r="F27" i="4"/>
  <c r="F28" i="4"/>
  <c r="F29" i="4"/>
  <c r="F30" i="4"/>
  <c r="F31" i="4"/>
  <c r="F32" i="4"/>
  <c r="F33" i="4"/>
  <c r="F34" i="4"/>
  <c r="F35" i="4"/>
  <c r="F36" i="4"/>
  <c r="F37" i="4"/>
  <c r="F38" i="4"/>
  <c r="F39" i="4"/>
  <c r="F40" i="4"/>
  <c r="F41" i="4"/>
  <c r="F42" i="4"/>
  <c r="F4" i="4"/>
  <c r="H4" i="3"/>
  <c r="B53" i="1" l="1"/>
  <c r="B52" i="1"/>
  <c r="E110" i="2" l="1"/>
  <c r="F110" i="2"/>
  <c r="G110" i="2"/>
  <c r="H110" i="2"/>
  <c r="I110" i="2"/>
  <c r="J110" i="2"/>
  <c r="K110" i="2"/>
  <c r="L110" i="2"/>
  <c r="M110" i="2"/>
  <c r="N110" i="2"/>
  <c r="O110" i="2"/>
  <c r="P110" i="2"/>
  <c r="Q110" i="2"/>
  <c r="R110" i="2"/>
  <c r="S110" i="2"/>
  <c r="T110" i="2"/>
  <c r="U110" i="2"/>
  <c r="V110" i="2"/>
  <c r="W110" i="2"/>
  <c r="X110" i="2"/>
  <c r="Y110" i="2"/>
  <c r="Z110" i="2"/>
  <c r="AA110" i="2"/>
  <c r="AB110" i="2"/>
  <c r="D110" i="2"/>
  <c r="E66" i="2"/>
  <c r="F66" i="2"/>
  <c r="G66" i="2"/>
  <c r="H66" i="2"/>
  <c r="I66" i="2"/>
  <c r="J66" i="2"/>
  <c r="K66" i="2"/>
  <c r="L66" i="2"/>
  <c r="M66" i="2"/>
  <c r="N66" i="2"/>
  <c r="O66" i="2"/>
  <c r="P66" i="2"/>
  <c r="Q66" i="2"/>
  <c r="R66" i="2"/>
  <c r="S66" i="2"/>
  <c r="T66" i="2"/>
  <c r="U66" i="2"/>
  <c r="V66" i="2"/>
  <c r="W66" i="2"/>
  <c r="X66" i="2"/>
  <c r="Y66" i="2"/>
  <c r="Z66" i="2"/>
  <c r="AA66" i="2"/>
  <c r="AB66" i="2"/>
  <c r="D66" i="2"/>
  <c r="E62" i="2"/>
  <c r="F62" i="2"/>
  <c r="G62" i="2"/>
  <c r="H62" i="2"/>
  <c r="I62" i="2"/>
  <c r="J62" i="2"/>
  <c r="K62" i="2"/>
  <c r="L62" i="2"/>
  <c r="M62" i="2"/>
  <c r="N62" i="2"/>
  <c r="O62" i="2"/>
  <c r="P62" i="2"/>
  <c r="Q62" i="2"/>
  <c r="R62" i="2"/>
  <c r="S62" i="2"/>
  <c r="T62" i="2"/>
  <c r="U62" i="2"/>
  <c r="V62" i="2"/>
  <c r="W62" i="2"/>
  <c r="X62" i="2"/>
  <c r="Y62" i="2"/>
  <c r="Z62" i="2"/>
  <c r="AA62" i="2"/>
  <c r="AB62" i="2"/>
  <c r="D62" i="2"/>
  <c r="F4" i="2" l="1"/>
  <c r="G4" i="2"/>
  <c r="H4" i="2"/>
  <c r="I4" i="2"/>
  <c r="J4" i="2"/>
  <c r="K4" i="2"/>
  <c r="L4" i="2"/>
  <c r="M4" i="2"/>
  <c r="N4" i="2"/>
  <c r="O4" i="2"/>
  <c r="P4" i="2"/>
  <c r="Q4" i="2"/>
  <c r="R4" i="2"/>
  <c r="S4" i="2"/>
  <c r="T4" i="2"/>
  <c r="U4" i="2"/>
  <c r="V4" i="2"/>
  <c r="W4" i="2"/>
  <c r="X4" i="2"/>
  <c r="Y4" i="2"/>
  <c r="Z4" i="2"/>
  <c r="AA4" i="2"/>
  <c r="AB4" i="2"/>
  <c r="E4" i="2"/>
  <c r="F16" i="2"/>
  <c r="G16" i="2"/>
  <c r="H16" i="2"/>
  <c r="I16" i="2"/>
  <c r="J16" i="2"/>
  <c r="K16" i="2"/>
  <c r="L16" i="2"/>
  <c r="M16" i="2"/>
  <c r="N16" i="2"/>
  <c r="O16" i="2"/>
  <c r="P16" i="2"/>
  <c r="Q16" i="2"/>
  <c r="R16" i="2"/>
  <c r="S16" i="2"/>
  <c r="T16" i="2"/>
  <c r="U16" i="2"/>
  <c r="V16" i="2"/>
  <c r="W16" i="2"/>
  <c r="X16" i="2"/>
  <c r="Y16" i="2"/>
  <c r="Z16" i="2"/>
  <c r="AA16" i="2"/>
  <c r="AB16" i="2"/>
  <c r="E16" i="2"/>
  <c r="D16" i="2"/>
  <c r="D4" i="2"/>
  <c r="B50" i="1" l="1"/>
  <c r="B51" i="1"/>
  <c r="B49" i="1"/>
  <c r="B57" i="1"/>
  <c r="B56" i="1"/>
  <c r="B55" i="1"/>
  <c r="B54" i="1"/>
  <c r="B7" i="1" l="1"/>
  <c r="B47" i="1" l="1"/>
  <c r="B45" i="1" l="1"/>
  <c r="I47" i="1" s="1"/>
  <c r="B44" i="1"/>
  <c r="B43" i="1"/>
  <c r="B41" i="1"/>
  <c r="B40" i="1"/>
  <c r="B38" i="1"/>
  <c r="B36" i="1"/>
  <c r="B34" i="1"/>
  <c r="B32" i="1"/>
  <c r="B29" i="1"/>
  <c r="G47" i="1" l="1"/>
  <c r="G41" i="1"/>
  <c r="G42" i="1"/>
  <c r="B11" i="1"/>
  <c r="B12" i="1"/>
  <c r="B13" i="1"/>
  <c r="B14" i="1"/>
  <c r="B10" i="1"/>
  <c r="B3" i="1"/>
  <c r="B2" i="1"/>
  <c r="B6" i="5" l="1"/>
  <c r="B8" i="5"/>
  <c r="G56" i="1" s="1"/>
  <c r="B7" i="5"/>
  <c r="B2" i="5"/>
  <c r="B8" i="1"/>
  <c r="B13" i="2" l="1"/>
  <c r="C58" i="2" s="1"/>
  <c r="B224" i="2"/>
  <c r="B221" i="2"/>
  <c r="B220" i="2"/>
  <c r="F2" i="3" s="1"/>
  <c r="B222" i="2"/>
  <c r="B223" i="2"/>
  <c r="B218" i="2"/>
  <c r="B113" i="2"/>
  <c r="B217" i="2"/>
  <c r="C6" i="1" s="1"/>
  <c r="B213" i="2"/>
  <c r="B214" i="2"/>
  <c r="B215" i="2"/>
  <c r="C60" i="1" s="1"/>
  <c r="B219" i="2"/>
  <c r="B216" i="2"/>
  <c r="B211" i="2"/>
  <c r="B207" i="2"/>
  <c r="C53" i="1" s="1"/>
  <c r="B206" i="2"/>
  <c r="C52" i="1" s="1"/>
  <c r="B208" i="2"/>
  <c r="B186" i="2"/>
  <c r="H39" i="1" s="1"/>
  <c r="B50" i="2"/>
  <c r="B40" i="2"/>
  <c r="B37" i="2"/>
  <c r="B31" i="2"/>
  <c r="B49" i="2"/>
  <c r="B46" i="2"/>
  <c r="B42" i="2"/>
  <c r="B32" i="2"/>
  <c r="B51" i="2"/>
  <c r="B35" i="2"/>
  <c r="B44" i="2"/>
  <c r="B36" i="2"/>
  <c r="B45" i="2"/>
  <c r="B34" i="2"/>
  <c r="B38" i="2"/>
  <c r="B41" i="2"/>
  <c r="B52" i="2"/>
  <c r="B43" i="2"/>
  <c r="B33" i="2"/>
  <c r="B39" i="2"/>
  <c r="B47" i="2"/>
  <c r="B48" i="2"/>
  <c r="B20" i="2"/>
  <c r="B28" i="2"/>
  <c r="B22" i="2"/>
  <c r="B23" i="2"/>
  <c r="B27" i="2"/>
  <c r="B21" i="2"/>
  <c r="B29" i="2"/>
  <c r="B30" i="2"/>
  <c r="B17" i="2"/>
  <c r="B24" i="2"/>
  <c r="B25" i="2"/>
  <c r="B18" i="2"/>
  <c r="B26" i="2"/>
  <c r="B19" i="2"/>
  <c r="B8" i="2"/>
  <c r="C53" i="2" s="1"/>
  <c r="B11" i="2"/>
  <c r="C56" i="2" s="1"/>
  <c r="B6" i="2"/>
  <c r="B9" i="2"/>
  <c r="C54" i="2" s="1"/>
  <c r="B10" i="2"/>
  <c r="C55" i="2" s="1"/>
  <c r="B5" i="2"/>
  <c r="B14" i="2"/>
  <c r="B12" i="2"/>
  <c r="C57" i="2" s="1"/>
  <c r="B7" i="2"/>
  <c r="B212" i="2"/>
  <c r="B209" i="2"/>
  <c r="E8" i="1" s="1"/>
  <c r="B210" i="2"/>
  <c r="B200" i="2"/>
  <c r="C55" i="1" s="1"/>
  <c r="B204" i="2"/>
  <c r="C50" i="1" s="1"/>
  <c r="B205" i="2"/>
  <c r="C51" i="1" s="1"/>
  <c r="G54" i="1"/>
  <c r="G55" i="1"/>
  <c r="G40" i="1"/>
  <c r="B199" i="2"/>
  <c r="B201" i="2"/>
  <c r="C56" i="1" s="1"/>
  <c r="B202" i="2"/>
  <c r="B198" i="2"/>
  <c r="I48" i="1" s="1"/>
  <c r="B203" i="2"/>
  <c r="C49" i="1" s="1"/>
  <c r="B103" i="2"/>
  <c r="C103" i="2" s="1"/>
  <c r="B197" i="2"/>
  <c r="C48" i="1" s="1"/>
  <c r="B104" i="2"/>
  <c r="C104" i="2" s="1"/>
  <c r="B105" i="2"/>
  <c r="C105" i="2" s="1"/>
  <c r="B96" i="2"/>
  <c r="C96" i="2" s="1"/>
  <c r="B194" i="2"/>
  <c r="B195" i="2"/>
  <c r="I27" i="1" s="1"/>
  <c r="B196" i="2"/>
  <c r="B189" i="2"/>
  <c r="B190" i="2"/>
  <c r="B191" i="2"/>
  <c r="B192" i="2"/>
  <c r="B188" i="2"/>
  <c r="B185" i="2"/>
  <c r="B187" i="2"/>
  <c r="B193" i="2"/>
  <c r="B225" i="2"/>
  <c r="B20" i="1"/>
  <c r="B23" i="1"/>
  <c r="B25" i="1"/>
  <c r="B18" i="1"/>
  <c r="B5" i="1"/>
  <c r="I41" i="1" l="1"/>
  <c r="I4" i="1"/>
  <c r="I60" i="1"/>
  <c r="I59" i="1"/>
  <c r="I58" i="1"/>
  <c r="I57" i="1"/>
  <c r="I54" i="1"/>
  <c r="I55" i="1"/>
  <c r="I53" i="1"/>
  <c r="I50" i="1"/>
  <c r="I49" i="1"/>
  <c r="I52" i="1"/>
  <c r="I51" i="1"/>
  <c r="I40" i="1"/>
  <c r="I8" i="1"/>
  <c r="I26" i="1"/>
  <c r="I7" i="1"/>
  <c r="I6" i="1"/>
  <c r="C4" i="1"/>
  <c r="C59" i="2"/>
  <c r="C59" i="1"/>
  <c r="C58" i="1"/>
  <c r="C57" i="1"/>
  <c r="I5" i="1"/>
  <c r="I13" i="1"/>
  <c r="I14" i="1"/>
  <c r="I10" i="1"/>
  <c r="I12" i="1"/>
  <c r="I11" i="1"/>
  <c r="C50" i="2"/>
  <c r="C52" i="2"/>
  <c r="C49" i="2"/>
  <c r="C51" i="2"/>
  <c r="C35" i="2"/>
  <c r="C43" i="2"/>
  <c r="C36" i="2"/>
  <c r="C44" i="2"/>
  <c r="C37" i="2"/>
  <c r="C45" i="2"/>
  <c r="C40" i="2"/>
  <c r="C48" i="2"/>
  <c r="C41" i="2"/>
  <c r="C34" i="2"/>
  <c r="C38" i="2"/>
  <c r="C46" i="2"/>
  <c r="C39" i="2"/>
  <c r="C47" i="2"/>
  <c r="C32" i="2"/>
  <c r="C33" i="2"/>
  <c r="C31" i="2"/>
  <c r="C42" i="2"/>
  <c r="C18" i="2"/>
  <c r="C26" i="2"/>
  <c r="C19" i="2"/>
  <c r="C27" i="2"/>
  <c r="C20" i="2"/>
  <c r="C28" i="2"/>
  <c r="C21" i="2"/>
  <c r="C29" i="2"/>
  <c r="C22" i="2"/>
  <c r="C30" i="2"/>
  <c r="C23" i="2"/>
  <c r="C17" i="2"/>
  <c r="C24" i="2"/>
  <c r="C25" i="2"/>
  <c r="C54" i="1"/>
  <c r="I34" i="1"/>
  <c r="I32" i="1"/>
  <c r="I29" i="1"/>
  <c r="I25" i="1"/>
  <c r="I23" i="1"/>
  <c r="I20" i="1"/>
  <c r="I38" i="1"/>
  <c r="I18" i="1"/>
  <c r="I36" i="1"/>
  <c r="I3" i="1"/>
  <c r="I2" i="1"/>
  <c r="B181" i="2" l="1"/>
  <c r="H34" i="1" s="1"/>
  <c r="B173" i="2"/>
  <c r="B167" i="2"/>
  <c r="D2" i="3" s="1"/>
  <c r="B161" i="2"/>
  <c r="G4" i="3" s="1"/>
  <c r="B117" i="2"/>
  <c r="B111" i="2"/>
  <c r="C2" i="1" s="1"/>
  <c r="B147" i="2"/>
  <c r="C37" i="1" s="1"/>
  <c r="B143" i="2"/>
  <c r="C30" i="1" s="1"/>
  <c r="B156" i="2"/>
  <c r="I42" i="1" s="1"/>
  <c r="B129" i="2"/>
  <c r="B155" i="2"/>
  <c r="C46" i="1" s="1"/>
  <c r="B175" i="2"/>
  <c r="H23" i="1" s="1"/>
  <c r="B168" i="2"/>
  <c r="E2" i="3" s="1"/>
  <c r="B160" i="2"/>
  <c r="I56" i="1" s="1"/>
  <c r="B114" i="2"/>
  <c r="C5" i="1" s="1"/>
  <c r="B150" i="2"/>
  <c r="B116" i="2"/>
  <c r="C9" i="1" s="1"/>
  <c r="B118" i="2"/>
  <c r="B149" i="2"/>
  <c r="C40" i="1" s="1"/>
  <c r="B182" i="2"/>
  <c r="H36" i="1" s="1"/>
  <c r="B176" i="2"/>
  <c r="H25" i="1" s="1"/>
  <c r="B169" i="2"/>
  <c r="B159" i="2"/>
  <c r="B142" i="2"/>
  <c r="C28" i="1" s="1"/>
  <c r="B152" i="2"/>
  <c r="D43" i="1" s="1"/>
  <c r="B123" i="2"/>
  <c r="B148" i="2"/>
  <c r="C39" i="1" s="1"/>
  <c r="B121" i="2"/>
  <c r="B112" i="2"/>
  <c r="C3" i="1" s="1"/>
  <c r="B127" i="2"/>
  <c r="B153" i="2"/>
  <c r="D44" i="1" s="1"/>
  <c r="B122" i="2"/>
  <c r="B137" i="2"/>
  <c r="C21" i="1" s="1" a="1"/>
  <c r="C21" i="1" s="1"/>
  <c r="B183" i="2"/>
  <c r="B1" i="3" s="1"/>
  <c r="B177" i="2"/>
  <c r="H26" i="1" s="1"/>
  <c r="B166" i="2"/>
  <c r="C2" i="3" s="1"/>
  <c r="B134" i="2"/>
  <c r="C16" i="1" s="1"/>
  <c r="B144" i="2"/>
  <c r="C31" i="1" s="1"/>
  <c r="B154" i="2"/>
  <c r="D45" i="1" s="1"/>
  <c r="B135" i="2"/>
  <c r="C17" i="1" s="1"/>
  <c r="B125" i="2"/>
  <c r="B132" i="2"/>
  <c r="I15" i="1" s="1"/>
  <c r="B139" i="2"/>
  <c r="C24" i="1" s="1" a="1"/>
  <c r="C24" i="1" s="1"/>
  <c r="B130" i="2"/>
  <c r="B115" i="2"/>
  <c r="C8" i="1" s="1"/>
  <c r="B131" i="2"/>
  <c r="C1" i="1" s="1"/>
  <c r="B146" i="2"/>
  <c r="C35" i="1" s="1"/>
  <c r="B184" i="2"/>
  <c r="B1" i="4" s="1"/>
  <c r="B170" i="2"/>
  <c r="B2" i="4" s="1"/>
  <c r="B164" i="2"/>
  <c r="B136" i="2"/>
  <c r="C19" i="1" s="1"/>
  <c r="B138" i="2"/>
  <c r="C22" i="1" s="1"/>
  <c r="B128" i="2"/>
  <c r="B157" i="2"/>
  <c r="B162" i="2"/>
  <c r="B126" i="2"/>
  <c r="B180" i="2"/>
  <c r="H32" i="1" s="1"/>
  <c r="B178" i="2"/>
  <c r="H27" i="1" s="1"/>
  <c r="B165" i="2"/>
  <c r="B2" i="3" s="1"/>
  <c r="B140" i="2"/>
  <c r="B145" i="2"/>
  <c r="C33" i="1" s="1"/>
  <c r="B120" i="2"/>
  <c r="B179" i="2"/>
  <c r="H29" i="1" s="1"/>
  <c r="B171" i="2"/>
  <c r="C2" i="4" s="1"/>
  <c r="B163" i="2"/>
  <c r="B133" i="2"/>
  <c r="I9" i="1" s="1"/>
  <c r="B119" i="2"/>
  <c r="B158" i="2"/>
  <c r="B124" i="2"/>
  <c r="B151" i="2"/>
  <c r="C42" i="1" s="1"/>
  <c r="B141" i="2"/>
  <c r="B174" i="2"/>
  <c r="H20" i="1" s="1"/>
  <c r="B172" i="2"/>
  <c r="D2" i="4" s="1"/>
  <c r="B74" i="2"/>
  <c r="C74" i="2" s="1"/>
  <c r="B68" i="2"/>
  <c r="C68" i="2" s="1"/>
  <c r="B93" i="2"/>
  <c r="C93" i="2" s="1"/>
  <c r="B79" i="2"/>
  <c r="C79" i="2" s="1"/>
  <c r="B108" i="2"/>
  <c r="C108" i="2" s="1"/>
  <c r="B70" i="2"/>
  <c r="C70" i="2" s="1"/>
  <c r="B82" i="2"/>
  <c r="C82" i="2" s="1"/>
  <c r="B76" i="2"/>
  <c r="C76" i="2" s="1"/>
  <c r="B102" i="2"/>
  <c r="C102" i="2" s="1"/>
  <c r="B87" i="2"/>
  <c r="C87" i="2" s="1"/>
  <c r="B84" i="2"/>
  <c r="C84" i="2" s="1"/>
  <c r="B95" i="2"/>
  <c r="C95" i="2" s="1"/>
  <c r="B90" i="2"/>
  <c r="C90" i="2" s="1"/>
  <c r="B67" i="2"/>
  <c r="C67" i="2" s="1"/>
  <c r="B99" i="2"/>
  <c r="C99" i="2" s="1"/>
  <c r="B92" i="2"/>
  <c r="C92" i="2" s="1"/>
  <c r="B78" i="2"/>
  <c r="C78" i="2" s="1"/>
  <c r="B107" i="2"/>
  <c r="C107" i="2" s="1"/>
  <c r="B73" i="2"/>
  <c r="C73" i="2" s="1"/>
  <c r="B75" i="2"/>
  <c r="C75" i="2" s="1"/>
  <c r="B101" i="2"/>
  <c r="C101" i="2" s="1"/>
  <c r="B86" i="2"/>
  <c r="C86" i="2" s="1"/>
  <c r="B81" i="2"/>
  <c r="C81" i="2" s="1"/>
  <c r="B83" i="2"/>
  <c r="C83" i="2" s="1"/>
  <c r="B69" i="2"/>
  <c r="C69" i="2" s="1"/>
  <c r="B94" i="2"/>
  <c r="C94" i="2" s="1"/>
  <c r="B80" i="2"/>
  <c r="C80" i="2" s="1"/>
  <c r="B89" i="2"/>
  <c r="C89" i="2" s="1"/>
  <c r="B91" i="2"/>
  <c r="C91" i="2" s="1"/>
  <c r="B77" i="2"/>
  <c r="C77" i="2" s="1"/>
  <c r="B106" i="2"/>
  <c r="C106" i="2" s="1"/>
  <c r="B88" i="2"/>
  <c r="C88" i="2" s="1"/>
  <c r="B72" i="2"/>
  <c r="C72" i="2" s="1"/>
  <c r="B98" i="2"/>
  <c r="C98" i="2" s="1"/>
  <c r="B100" i="2"/>
  <c r="C100" i="2" s="1"/>
  <c r="B85" i="2"/>
  <c r="C85" i="2" s="1"/>
  <c r="B71" i="2"/>
  <c r="C71" i="2" s="1"/>
  <c r="B97" i="2"/>
  <c r="C97" i="2" s="1"/>
  <c r="B63" i="2"/>
  <c r="C63" i="2" s="1"/>
  <c r="B64" i="2"/>
  <c r="C64" i="2" s="1"/>
  <c r="C3" i="5" s="1"/>
  <c r="I39" i="1" l="1"/>
  <c r="E40" i="1"/>
  <c r="C45" i="1"/>
  <c r="C15" i="1" a="1"/>
  <c r="C15" i="1" s="1"/>
  <c r="A1" i="6"/>
  <c r="C7" i="1"/>
  <c r="C41" i="1"/>
  <c r="H18" i="1"/>
  <c r="C26" i="1"/>
  <c r="A1" i="3"/>
  <c r="C13" i="1"/>
  <c r="C10" i="1"/>
  <c r="C11" i="1"/>
  <c r="C14" i="1"/>
  <c r="C12" i="1"/>
  <c r="A2" i="4"/>
  <c r="A2" i="3"/>
  <c r="B3" i="5"/>
  <c r="B4" i="5"/>
  <c r="C27" i="1"/>
  <c r="A1" i="4"/>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<sst xmlns="http://schemas.openxmlformats.org/spreadsheetml/2006/main" count="623" uniqueCount="565">
  <si>
    <t>en</t>
  </si>
  <si>
    <t>hr</t>
  </si>
  <si>
    <t>fr</t>
  </si>
  <si>
    <t>de</t>
  </si>
  <si>
    <t>yes</t>
  </si>
  <si>
    <t>da</t>
  </si>
  <si>
    <t xml:space="preserve"> </t>
  </si>
  <si>
    <t>&lt;to be hidden&gt;</t>
  </si>
  <si>
    <t>choiceCode</t>
  </si>
  <si>
    <t>choiceTranslated</t>
  </si>
  <si>
    <t>choiceShown</t>
  </si>
  <si>
    <t>Total number</t>
  </si>
  <si>
    <t>language_or_default</t>
  </si>
  <si>
    <t>no</t>
  </si>
  <si>
    <t>choice_optional</t>
  </si>
  <si>
    <t>choice_mandatory</t>
  </si>
  <si>
    <t>bg</t>
  </si>
  <si>
    <t>cs</t>
  </si>
  <si>
    <t>el</t>
  </si>
  <si>
    <t>es</t>
  </si>
  <si>
    <t>et</t>
  </si>
  <si>
    <t>fi</t>
  </si>
  <si>
    <t>ga</t>
  </si>
  <si>
    <t>hu</t>
  </si>
  <si>
    <t>it</t>
  </si>
  <si>
    <t>lt</t>
  </si>
  <si>
    <t>lv</t>
  </si>
  <si>
    <t>mt</t>
  </si>
  <si>
    <t>nl</t>
  </si>
  <si>
    <t>pl</t>
  </si>
  <si>
    <t>pt</t>
  </si>
  <si>
    <t>ro</t>
  </si>
  <si>
    <t>sk</t>
  </si>
  <si>
    <t>sl</t>
  </si>
  <si>
    <t>sv</t>
  </si>
  <si>
    <t>AT</t>
  </si>
  <si>
    <t>BE</t>
  </si>
  <si>
    <t>BG</t>
  </si>
  <si>
    <t>CY</t>
  </si>
  <si>
    <t>CZ</t>
  </si>
  <si>
    <t>DE</t>
  </si>
  <si>
    <t>DK</t>
  </si>
  <si>
    <t>EE</t>
  </si>
  <si>
    <t>EL</t>
  </si>
  <si>
    <t>ES</t>
  </si>
  <si>
    <t>FI</t>
  </si>
  <si>
    <t>FR</t>
  </si>
  <si>
    <t>HR</t>
  </si>
  <si>
    <t>HU</t>
  </si>
  <si>
    <t>IE</t>
  </si>
  <si>
    <t>IT</t>
  </si>
  <si>
    <t>LT</t>
  </si>
  <si>
    <t>LU</t>
  </si>
  <si>
    <t>LV</t>
  </si>
  <si>
    <t>MT</t>
  </si>
  <si>
    <t>NL</t>
  </si>
  <si>
    <t>PL</t>
  </si>
  <si>
    <t>PT</t>
  </si>
  <si>
    <t>RO</t>
  </si>
  <si>
    <t>SE</t>
  </si>
  <si>
    <t>SI</t>
  </si>
  <si>
    <t>SK</t>
  </si>
  <si>
    <t>NO</t>
  </si>
  <si>
    <t xml:space="preserve">
</t>
  </si>
  <si>
    <t>country_label</t>
  </si>
  <si>
    <t>Country</t>
  </si>
  <si>
    <t>language_label</t>
  </si>
  <si>
    <t>text</t>
  </si>
  <si>
    <t>textTranslated</t>
  </si>
  <si>
    <t>Language</t>
  </si>
  <si>
    <t>Title of the project</t>
  </si>
  <si>
    <t>Duration of the project</t>
  </si>
  <si>
    <t>keywords_label</t>
  </si>
  <si>
    <t>projectTitle_label</t>
  </si>
  <si>
    <t>projectDuration_label</t>
  </si>
  <si>
    <t>Keywords</t>
  </si>
  <si>
    <t>keyword_label</t>
  </si>
  <si>
    <t>Keyword</t>
  </si>
  <si>
    <t>projectPurposes_label</t>
  </si>
  <si>
    <t>basicResearch_label</t>
  </si>
  <si>
    <t>translationalResearch_label</t>
  </si>
  <si>
    <t>qualityControl_label</t>
  </si>
  <si>
    <t>efficacyTesting_label</t>
  </si>
  <si>
    <t>toxicityTesting_label</t>
  </si>
  <si>
    <t>routineProduction_label</t>
  </si>
  <si>
    <t>protection_label</t>
  </si>
  <si>
    <t>preservation_label</t>
  </si>
  <si>
    <t>education_label</t>
  </si>
  <si>
    <t>training_label</t>
  </si>
  <si>
    <t>forensic_label</t>
  </si>
  <si>
    <t>maintenance_label</t>
  </si>
  <si>
    <t>Basic research</t>
  </si>
  <si>
    <t>Translational and applied research</t>
  </si>
  <si>
    <t>Regulatory use: Quality control (including batch safety and potency testing)</t>
  </si>
  <si>
    <t>Regulatory use: Other efficacy and tolerance testing</t>
  </si>
  <si>
    <t>Regulatory use: Toxicity and other safety testing including pharmacology</t>
  </si>
  <si>
    <t>Routine production</t>
  </si>
  <si>
    <t>Protection of the natural environment in the interests of the health or welfare of human beings or animals</t>
  </si>
  <si>
    <t>Preservation of species</t>
  </si>
  <si>
    <t>Higher education</t>
  </si>
  <si>
    <t>Training</t>
  </si>
  <si>
    <t>Forensic enquiries</t>
  </si>
  <si>
    <t>Maintenance of colonies of genetically altered animals, not used in other procedures</t>
  </si>
  <si>
    <t>Objectives and predicted benefits of the project</t>
  </si>
  <si>
    <t>Objectives of the project</t>
  </si>
  <si>
    <t>NON-TECHNICAL PROJECT SUMMARY</t>
  </si>
  <si>
    <t>NTS_title</t>
  </si>
  <si>
    <t>at_least_one_keyword_mssg</t>
  </si>
  <si>
    <t>at_least_one_purpose_mssg</t>
  </si>
  <si>
    <t>objectives_and_benefits_label</t>
  </si>
  <si>
    <t>projectObjectives_label</t>
  </si>
  <si>
    <t>Potential benefits likely to derive from this project</t>
  </si>
  <si>
    <t>potentialBenefits_label</t>
  </si>
  <si>
    <t>Predicted harms</t>
  </si>
  <si>
    <t>predicted_harms_label</t>
  </si>
  <si>
    <t>In what procedures will the animals typically be used</t>
  </si>
  <si>
    <t>procedures_label</t>
  </si>
  <si>
    <t>Expected impacts/adverse effects on the animals</t>
  </si>
  <si>
    <t>expectedImpacts_label</t>
  </si>
  <si>
    <t>fateList_label</t>
  </si>
  <si>
    <t>Fate of animals kept alive</t>
  </si>
  <si>
    <t>Reasons for the planned fate of the animals after the procedure</t>
  </si>
  <si>
    <t>fateReasons_label</t>
  </si>
  <si>
    <t>Application of the Three Rs</t>
  </si>
  <si>
    <t>application_of_the_three_rs_label</t>
  </si>
  <si>
    <t>1. Replacement</t>
  </si>
  <si>
    <t>replacement_label</t>
  </si>
  <si>
    <t>2. Reduction</t>
  </si>
  <si>
    <t>reduction_label</t>
  </si>
  <si>
    <t>3. Refinement</t>
  </si>
  <si>
    <t>refinement_label</t>
  </si>
  <si>
    <t>Explain the choice of species and the related life stages</t>
  </si>
  <si>
    <t>speciesChoiceExplanation_label</t>
  </si>
  <si>
    <t>Project selected for Retrospective Assessment</t>
  </si>
  <si>
    <t>project_selected_for_ra_label</t>
  </si>
  <si>
    <t>raSelected_label</t>
  </si>
  <si>
    <t>Project selected for RA?</t>
  </si>
  <si>
    <t>Deadline for RA</t>
  </si>
  <si>
    <t>raDeadline_label</t>
  </si>
  <si>
    <t>Reasons for retrospective assessment</t>
  </si>
  <si>
    <t>ra_reasons_label</t>
  </si>
  <si>
    <t>severeProcedure_label</t>
  </si>
  <si>
    <t>nhpUse_label</t>
  </si>
  <si>
    <t>other_label</t>
  </si>
  <si>
    <t>otherExplanation_label</t>
  </si>
  <si>
    <t>Contains severe procedures</t>
  </si>
  <si>
    <t>Uses non-human primates</t>
  </si>
  <si>
    <t>Other reason</t>
  </si>
  <si>
    <t>Explanation of the other reason for retrospective assessment</t>
  </si>
  <si>
    <t>at_least_one_reason_mssg</t>
  </si>
  <si>
    <t>inconsistent_value_mssg</t>
  </si>
  <si>
    <t>Inconsistent value!</t>
  </si>
  <si>
    <t>xs:country</t>
  </si>
  <si>
    <t>xs:language</t>
  </si>
  <si>
    <t>xs:projectTitle</t>
  </si>
  <si>
    <t>xs:projectDuration</t>
  </si>
  <si>
    <t>xs:keyword</t>
  </si>
  <si>
    <t>xs:projectObjectives</t>
  </si>
  <si>
    <t>xs:potentialBenefits</t>
  </si>
  <si>
    <t>xs:procedures</t>
  </si>
  <si>
    <t>xs:expectedImpacts</t>
  </si>
  <si>
    <t>xs:fateReasons</t>
  </si>
  <si>
    <t>xs:replacement</t>
  </si>
  <si>
    <t>xs:reduction</t>
  </si>
  <si>
    <t>xs:refinement</t>
  </si>
  <si>
    <t>xs:speciesChoiceExplanation</t>
  </si>
  <si>
    <t>xs:raSelected</t>
  </si>
  <si>
    <t>xs:raDeadline</t>
  </si>
  <si>
    <t>xs:severeProcedure</t>
  </si>
  <si>
    <t>xs:nhpUse</t>
  </si>
  <si>
    <t>xs:other</t>
  </si>
  <si>
    <t>xs:otherExplanation</t>
  </si>
  <si>
    <t>countries</t>
  </si>
  <si>
    <t>Selection for RA is applicable?</t>
  </si>
  <si>
    <t>selection_for_RA</t>
  </si>
  <si>
    <t>not_applicable_mssg</t>
  </si>
  <si>
    <t>Not applicable for selected country!</t>
  </si>
  <si>
    <t>to_be_filled_in_by_authority_mssg</t>
  </si>
  <si>
    <t>To be filled-in by competent authority!</t>
  </si>
  <si>
    <t>xs:species</t>
  </si>
  <si>
    <t>xs:nonRecovery</t>
  </si>
  <si>
    <t>xs:mild</t>
  </si>
  <si>
    <t>xs:moderate</t>
  </si>
  <si>
    <t>xs:severe</t>
  </si>
  <si>
    <t>Mild</t>
  </si>
  <si>
    <t>Species</t>
  </si>
  <si>
    <t>Moderate</t>
  </si>
  <si>
    <t>Severe</t>
  </si>
  <si>
    <t>Non-recovery</t>
  </si>
  <si>
    <t>speciesCode</t>
  </si>
  <si>
    <t>speciesTranslated</t>
  </si>
  <si>
    <t>speciesShown</t>
  </si>
  <si>
    <t>A1</t>
  </si>
  <si>
    <t>A2</t>
  </si>
  <si>
    <t>A3</t>
  </si>
  <si>
    <t>A4</t>
  </si>
  <si>
    <t>A5</t>
  </si>
  <si>
    <t>A6</t>
  </si>
  <si>
    <t>A7</t>
  </si>
  <si>
    <t>A8</t>
  </si>
  <si>
    <t>A9</t>
  </si>
  <si>
    <t>A10</t>
  </si>
  <si>
    <t>A11</t>
  </si>
  <si>
    <t>A12</t>
  </si>
  <si>
    <t>A13</t>
  </si>
  <si>
    <t>A14</t>
  </si>
  <si>
    <t>A15</t>
  </si>
  <si>
    <t>A16</t>
  </si>
  <si>
    <t>A17</t>
  </si>
  <si>
    <t>A18</t>
  </si>
  <si>
    <t>A19</t>
  </si>
  <si>
    <t>A20</t>
  </si>
  <si>
    <t>A21</t>
  </si>
  <si>
    <t>A22</t>
  </si>
  <si>
    <t>A23</t>
  </si>
  <si>
    <t>A24</t>
  </si>
  <si>
    <t>A25-1</t>
  </si>
  <si>
    <t>A25-2</t>
  </si>
  <si>
    <t>A26</t>
  </si>
  <si>
    <t>A27</t>
  </si>
  <si>
    <t>A28</t>
  </si>
  <si>
    <t>A29</t>
  </si>
  <si>
    <t>A30</t>
  </si>
  <si>
    <t>A31</t>
  </si>
  <si>
    <t>A32</t>
  </si>
  <si>
    <t>A33</t>
  </si>
  <si>
    <t>A34</t>
  </si>
  <si>
    <t>A35</t>
  </si>
  <si>
    <t>A36</t>
  </si>
  <si>
    <t>A99</t>
  </si>
  <si>
    <t>Mice</t>
  </si>
  <si>
    <t>Rats</t>
  </si>
  <si>
    <t>Guinea-Pigs</t>
  </si>
  <si>
    <t>Hamsters (Syrian)</t>
  </si>
  <si>
    <t>Hamsters (Chinese)</t>
  </si>
  <si>
    <t>Mongolian gerbil</t>
  </si>
  <si>
    <t>Other rodents</t>
  </si>
  <si>
    <t>Rabbits</t>
  </si>
  <si>
    <t>Cats</t>
  </si>
  <si>
    <t>Dogs</t>
  </si>
  <si>
    <t>Ferrets</t>
  </si>
  <si>
    <t>Other carnivores</t>
  </si>
  <si>
    <t>Horses, donkeys and cross-breeds</t>
  </si>
  <si>
    <t>Pigs</t>
  </si>
  <si>
    <t>Goats</t>
  </si>
  <si>
    <t>Sheep</t>
  </si>
  <si>
    <t>Cattle</t>
  </si>
  <si>
    <t>Prosimians</t>
  </si>
  <si>
    <t>Marmoset and tamarins</t>
  </si>
  <si>
    <t>Cynomolgus monkey</t>
  </si>
  <si>
    <t>Rhesus monkey</t>
  </si>
  <si>
    <t>Vervets (Chlorocebus spp.)</t>
  </si>
  <si>
    <t>Baboons</t>
  </si>
  <si>
    <t>Squirrel monkey</t>
  </si>
  <si>
    <t>Apes</t>
  </si>
  <si>
    <t>Other mammals</t>
  </si>
  <si>
    <t>Domestic fowl</t>
  </si>
  <si>
    <t>Other birds</t>
  </si>
  <si>
    <t>Reptiles</t>
  </si>
  <si>
    <t>Rana</t>
  </si>
  <si>
    <t>Xenopus</t>
  </si>
  <si>
    <t>Other amphibians</t>
  </si>
  <si>
    <t>Zebra fish</t>
  </si>
  <si>
    <t>Other fish</t>
  </si>
  <si>
    <t>Cephalopods</t>
  </si>
  <si>
    <t>non-specified mammal</t>
  </si>
  <si>
    <t>Mus musculus</t>
  </si>
  <si>
    <t>Rattus norvegicus</t>
  </si>
  <si>
    <t>Cavia porcellus</t>
  </si>
  <si>
    <t>Mesocricetus auratus</t>
  </si>
  <si>
    <t>Cricetulus griseus</t>
  </si>
  <si>
    <t>Meriones unguiculatus</t>
  </si>
  <si>
    <t>other Rodentia</t>
  </si>
  <si>
    <t>Oryctolagus cuniculus</t>
  </si>
  <si>
    <t>Felis catus</t>
  </si>
  <si>
    <t>Canis familiaris</t>
  </si>
  <si>
    <t>Mustela putorius furo</t>
  </si>
  <si>
    <t>other Carnivora</t>
  </si>
  <si>
    <t>Equidae</t>
  </si>
  <si>
    <t>Sus scrofa domesticus</t>
  </si>
  <si>
    <t>Capra aegagrus hircus</t>
  </si>
  <si>
    <t>Ovis aries</t>
  </si>
  <si>
    <t>Prosimia</t>
  </si>
  <si>
    <t>Callithrix jacchus</t>
  </si>
  <si>
    <t>Macaca fascicularis</t>
  </si>
  <si>
    <t>Macaca mulatta</t>
  </si>
  <si>
    <t>usually either pygerythrus or sabaeus</t>
  </si>
  <si>
    <t>Papio spp.</t>
  </si>
  <si>
    <t>Saimiri sciureus</t>
  </si>
  <si>
    <t>other species of Cercopithecoidea</t>
  </si>
  <si>
    <t>other species of Ceboidea</t>
  </si>
  <si>
    <t>Hominoidea</t>
  </si>
  <si>
    <t>other Mammalia</t>
  </si>
  <si>
    <t>Gallus gallus domesticus</t>
  </si>
  <si>
    <t>other Aves</t>
  </si>
  <si>
    <t>Reptilia</t>
  </si>
  <si>
    <t>Rana temporaria and Rana pipiens</t>
  </si>
  <si>
    <t>Xenopus laevis and Xenopus tropicalis</t>
  </si>
  <si>
    <t>other Amphibia</t>
  </si>
  <si>
    <t>Danio rerio</t>
  </si>
  <si>
    <t>other Pisces</t>
  </si>
  <si>
    <t>Cephalopoda</t>
  </si>
  <si>
    <t>scientific</t>
  </si>
  <si>
    <t>total_number_mssg</t>
  </si>
  <si>
    <t>select_species_mssg</t>
  </si>
  <si>
    <t>Species must be selected!</t>
  </si>
  <si>
    <t>Total number must be higher than 0!</t>
  </si>
  <si>
    <t>At least 1 row!</t>
  </si>
  <si>
    <t>at_least_one_row_mssg</t>
  </si>
  <si>
    <t>species_label</t>
  </si>
  <si>
    <t>non_recovery_label</t>
  </si>
  <si>
    <t>mild_label</t>
  </si>
  <si>
    <t>moderate_label</t>
  </si>
  <si>
    <t>severe_label</t>
  </si>
  <si>
    <t>total_number_label</t>
  </si>
  <si>
    <t>xs:reused</t>
  </si>
  <si>
    <t>xs:returned</t>
  </si>
  <si>
    <t>xs:rehomed</t>
  </si>
  <si>
    <t>reused_label</t>
  </si>
  <si>
    <t>returned_label</t>
  </si>
  <si>
    <t>rehomed_label</t>
  </si>
  <si>
    <t>Reused</t>
  </si>
  <si>
    <t>Returned</t>
  </si>
  <si>
    <t>Rehomed</t>
  </si>
  <si>
    <t>projectObjectives_instr</t>
  </si>
  <si>
    <t>Describe the objectives of the project (for example, addressing certain scientific unknowns, or scientific or clinical needs).</t>
  </si>
  <si>
    <t>potentialBenefits_instr</t>
  </si>
  <si>
    <t>What are the potential benefits likely to derive from this project? Explain how science could be advanced, or humans, animals or environment may ultimately benefit from the project. Where applicable, differentiate between short-term benefits (within the duration of the project) and long-term benefits (which may accrue after the project is finished).</t>
  </si>
  <si>
    <t>procedures_instr</t>
  </si>
  <si>
    <t>In what procedures will the animals typically be used (for example, injections, surgical procedures)? Indicate the number and duration of these procedures.</t>
  </si>
  <si>
    <t>expectedImpacts_instr</t>
  </si>
  <si>
    <t>What are the expected impacts/adverse effects on the animals, for example pain, weight loss, inactivity/reduced mobility, stress, abnormal behaviour, and the duration of those effects?</t>
  </si>
  <si>
    <t>What species and numbers of animals are expected to be used? What are the expected severities and the numbers of animals in each severity category (per species)?</t>
  </si>
  <si>
    <t>fateList_instr</t>
  </si>
  <si>
    <t>What will happen to the animals kept alive at the end of the procedure?</t>
  </si>
  <si>
    <t>fateReasons_instr</t>
  </si>
  <si>
    <t>Please provide reasons for the planned fate of the animals after the procedure.</t>
  </si>
  <si>
    <t>replacement_instr</t>
  </si>
  <si>
    <t>State which non-animal alternatives are available in this field and why they cannot be used for the purposes of the project.</t>
  </si>
  <si>
    <t>reduction_instr</t>
  </si>
  <si>
    <t>Explain how the numbers of animals for this project were determined. Describe steps that have been taken to reduce the number of animals to be used, and principles used to design studies. Where applicable, describe practices that will be used throughout the project to minimise the number of animals used consistent with scientific objectives. Those practices may include e.g. pilot studies, computer modelling, sharing of tissue and reuse.</t>
  </si>
  <si>
    <t>refinement_instr</t>
  </si>
  <si>
    <t>Give examples of the specific measures (e.g., increased monitoring, post-operative care, pain management, training of animals) to be taken, in relation to the procedures, to minimise welfare costs (harms) to the animals. Describe the mechanisms to take up emerging refinement techniques during the lifetime of the project.</t>
  </si>
  <si>
    <t>numbers_per_severity_label</t>
  </si>
  <si>
    <t>Estimated numbers per severity</t>
  </si>
  <si>
    <t>Estimated numbers of animals to be reused, to be returned to habitat/husbandry system or to be rehomed</t>
  </si>
  <si>
    <t>numbers_per_fate_label</t>
  </si>
  <si>
    <t>expectedHarms_label</t>
  </si>
  <si>
    <t>Expected harms</t>
  </si>
  <si>
    <t>expectedHarms_instr</t>
  </si>
  <si>
    <t>compulsory_field_tinstr</t>
  </si>
  <si>
    <t>maxLength_100_tinstr</t>
  </si>
  <si>
    <t>Maximum length is 100 characters.</t>
  </si>
  <si>
    <t>maxLength_50_tinstr</t>
  </si>
  <si>
    <t>At least one keyword must be entered!</t>
  </si>
  <si>
    <t>At least one purpose must be chosen!</t>
  </si>
  <si>
    <t>maxLength_2500_tinstr</t>
  </si>
  <si>
    <t>Maximum length is 2500 characters.</t>
  </si>
  <si>
    <t>maxLength_500_tinstr</t>
  </si>
  <si>
    <t>Maximum length is 500 characters.</t>
  </si>
  <si>
    <t>projectDuration_instr</t>
  </si>
  <si>
    <t>projectDuration_tinstr</t>
  </si>
  <si>
    <t>Project duration expressed in months.</t>
  </si>
  <si>
    <t>NTS national identifier</t>
  </si>
  <si>
    <t>ntsNationalId_label</t>
  </si>
  <si>
    <t>ntsNationalId_instr</t>
  </si>
  <si>
    <t>expectedHarms_tinstr</t>
  </si>
  <si>
    <t>Please fill-in 'Expected harms' sheet. At least one row must be filled-in!</t>
  </si>
  <si>
    <t>fateList_tinstr</t>
  </si>
  <si>
    <t xml:space="preserve">Please fill-in 'Fate of animals kept alive' sheet if applicable. </t>
  </si>
  <si>
    <t>date_format_tinstr</t>
  </si>
  <si>
    <t>Bos taurus</t>
  </si>
  <si>
    <t>Other species of Old World monkeys</t>
  </si>
  <si>
    <t>Other species of New World monkeys</t>
  </si>
  <si>
    <t>A37</t>
  </si>
  <si>
    <t>Turkey</t>
  </si>
  <si>
    <t>Meleagris gallopavo</t>
  </si>
  <si>
    <t>A38</t>
  </si>
  <si>
    <t>A39</t>
  </si>
  <si>
    <t>A40</t>
  </si>
  <si>
    <t>Sea bass</t>
  </si>
  <si>
    <t>spp. from families e.g. Serranidae, Moronidae</t>
  </si>
  <si>
    <t>Salmon, trout, chars and graylings</t>
  </si>
  <si>
    <t>Salmonidae</t>
  </si>
  <si>
    <t>Guppy, swordtail, molly, platy</t>
  </si>
  <si>
    <t>Poeciliidae</t>
  </si>
  <si>
    <t>additional_fields_title</t>
  </si>
  <si>
    <t>Additional fields</t>
  </si>
  <si>
    <t>additional_fields_tinstr</t>
  </si>
  <si>
    <t>projectStartDate_label</t>
  </si>
  <si>
    <t>Project start date</t>
  </si>
  <si>
    <t>template_version</t>
  </si>
  <si>
    <t>Project start/end date applicable?</t>
  </si>
  <si>
    <t>project_start_end_date</t>
  </si>
  <si>
    <t>Whether the particular field is applicable or not, depends on national rules.</t>
  </si>
  <si>
    <t>projectEndDate_label</t>
  </si>
  <si>
    <t>Project end date</t>
  </si>
  <si>
    <t>Project approval date?</t>
  </si>
  <si>
    <t>project_approval_date</t>
  </si>
  <si>
    <t>projectApprovalDate_label</t>
  </si>
  <si>
    <t>Project approval date</t>
  </si>
  <si>
    <t>ICD_code_label</t>
  </si>
  <si>
    <t>ICD code</t>
  </si>
  <si>
    <t>Regulatory use and routine production</t>
  </si>
  <si>
    <t>Training for the acquisition, maintenance or improvement of vocational skills</t>
  </si>
  <si>
    <t>Maintenance of colonies of established genetically altered animals, not used in other procedures</t>
  </si>
  <si>
    <t>purposeCategoryTranslated</t>
  </si>
  <si>
    <t>purposeCategories</t>
  </si>
  <si>
    <t>purposeCode</t>
  </si>
  <si>
    <t>purposeTranslated</t>
  </si>
  <si>
    <t>purposeShown</t>
  </si>
  <si>
    <t>Oncology</t>
  </si>
  <si>
    <t>Cardiovascular Blood and Lymphatic System</t>
  </si>
  <si>
    <t>Nervous System</t>
  </si>
  <si>
    <t>Respiratory System</t>
  </si>
  <si>
    <t>Gastrointestinal System including Liver</t>
  </si>
  <si>
    <t>Musculoskeletal System</t>
  </si>
  <si>
    <t>Immune System</t>
  </si>
  <si>
    <t>Urogenital/Reproductive System</t>
  </si>
  <si>
    <t>Sensory Organs (skin, eyes and ears)</t>
  </si>
  <si>
    <t>Endocrine System/Metabolism</t>
  </si>
  <si>
    <t>Developmental Biology</t>
  </si>
  <si>
    <t>Multisystemic</t>
  </si>
  <si>
    <t>Ethology/Animal Behaviour/Animal Biology</t>
  </si>
  <si>
    <t>Other Basic Research</t>
  </si>
  <si>
    <t>PB1</t>
  </si>
  <si>
    <t>PB2</t>
  </si>
  <si>
    <t>PB3</t>
  </si>
  <si>
    <t>PB4</t>
  </si>
  <si>
    <t>PB5</t>
  </si>
  <si>
    <t>PB6</t>
  </si>
  <si>
    <t>PB7</t>
  </si>
  <si>
    <t>PB8</t>
  </si>
  <si>
    <t>PB9</t>
  </si>
  <si>
    <t>PB10</t>
  </si>
  <si>
    <t>PB11</t>
  </si>
  <si>
    <t>PB12</t>
  </si>
  <si>
    <t>PB13</t>
  </si>
  <si>
    <t>PB14</t>
  </si>
  <si>
    <t>Human Cancer</t>
  </si>
  <si>
    <t>Human Infectious Disorders</t>
  </si>
  <si>
    <t>Human Cardiovascular Disorders</t>
  </si>
  <si>
    <t>Human Nervous and Mental Disorders</t>
  </si>
  <si>
    <t>Human Respiratory Disorders</t>
  </si>
  <si>
    <t>Human Gastrointestinal Disorders including Liver</t>
  </si>
  <si>
    <t>Human Musculoskeletal Disorders</t>
  </si>
  <si>
    <t>Human Immune Disorders</t>
  </si>
  <si>
    <t>Human Urogenital/Reproductive Disorders</t>
  </si>
  <si>
    <t>Human Sensory Organ Disorders (skin, eyes and ears)</t>
  </si>
  <si>
    <t>Human Endocrine/Metabolism Disorders</t>
  </si>
  <si>
    <t>Other Human Disorders</t>
  </si>
  <si>
    <t>Animal Diseases and Disorders</t>
  </si>
  <si>
    <t>Animal Nutrition</t>
  </si>
  <si>
    <t>Animal Welfare</t>
  </si>
  <si>
    <t>Diagnosis of Diseases</t>
  </si>
  <si>
    <t>Plant Diseases</t>
  </si>
  <si>
    <t>Non-regulatory Toxicology and Ecotoxicology</t>
  </si>
  <si>
    <t>PT21</t>
  </si>
  <si>
    <t>PT22</t>
  </si>
  <si>
    <t>PT23</t>
  </si>
  <si>
    <t>PT24</t>
  </si>
  <si>
    <t>PT25</t>
  </si>
  <si>
    <t>PT26</t>
  </si>
  <si>
    <t>PT27</t>
  </si>
  <si>
    <t>PT28</t>
  </si>
  <si>
    <t>PT29</t>
  </si>
  <si>
    <t>PT30</t>
  </si>
  <si>
    <t>PT31</t>
  </si>
  <si>
    <t>PT32</t>
  </si>
  <si>
    <t>PT33</t>
  </si>
  <si>
    <t>PT34</t>
  </si>
  <si>
    <t>PT35</t>
  </si>
  <si>
    <t>PT36</t>
  </si>
  <si>
    <t>PT37</t>
  </si>
  <si>
    <t>PT38</t>
  </si>
  <si>
    <t>PB</t>
  </si>
  <si>
    <t>PR</t>
  </si>
  <si>
    <t>Quality control (including batch safety and potency testing)</t>
  </si>
  <si>
    <t>Other efficacy and tolerance testing</t>
  </si>
  <si>
    <t>Toxicity and other safety testing including pharmacology</t>
  </si>
  <si>
    <t>Routine production by product type</t>
  </si>
  <si>
    <t>PRQC</t>
  </si>
  <si>
    <t>PR71</t>
  </si>
  <si>
    <t>PRTS</t>
  </si>
  <si>
    <t>PRRP</t>
  </si>
  <si>
    <t>PE40</t>
  </si>
  <si>
    <t>PS41</t>
  </si>
  <si>
    <t>PE42-1</t>
  </si>
  <si>
    <t>PE42-2</t>
  </si>
  <si>
    <t>PF43</t>
  </si>
  <si>
    <t>PG43</t>
  </si>
  <si>
    <t>Purpose</t>
  </si>
  <si>
    <t>Purpose(s) of the project</t>
  </si>
  <si>
    <t>projectPurposes_tinstr</t>
  </si>
  <si>
    <t>field1_label</t>
  </si>
  <si>
    <t>field2_label</t>
  </si>
  <si>
    <t>field3_label</t>
  </si>
  <si>
    <t>languages</t>
  </si>
  <si>
    <t>duration_unit_label</t>
  </si>
  <si>
    <t>compulsory_field_for_some_tinstr</t>
  </si>
  <si>
    <t>Maximum length is 50 characters including spaces.</t>
  </si>
  <si>
    <t>keyword_tinstr</t>
  </si>
  <si>
    <t>May consist of more than one word.</t>
  </si>
  <si>
    <t>field4_label</t>
  </si>
  <si>
    <t>field5_label</t>
  </si>
  <si>
    <t>fill_all_cells_mssg</t>
  </si>
  <si>
    <t>Please fill-in all categories with whole numbers (0 or higher)!</t>
  </si>
  <si>
    <t>Must be a whole number between 1 and 60!</t>
  </si>
  <si>
    <t>National identifier of the NTS.</t>
  </si>
  <si>
    <t>xs:euSubmission</t>
  </si>
  <si>
    <t>EU submission</t>
  </si>
  <si>
    <t>xs:ntsNationalId</t>
  </si>
  <si>
    <t>euSubmission_label</t>
  </si>
  <si>
    <t>euSubmission_instr</t>
  </si>
  <si>
    <t>xs:keywords</t>
  </si>
  <si>
    <t>xs:projectPurposes</t>
  </si>
  <si>
    <t>xs:expectedHarms</t>
  </si>
  <si>
    <t>xs:fateOfAnimalsKeptAlive</t>
  </si>
  <si>
    <t>xs:field1</t>
  </si>
  <si>
    <t>xs:field2</t>
  </si>
  <si>
    <t>xs:field3</t>
  </si>
  <si>
    <t>xs:field4</t>
  </si>
  <si>
    <t>xs:field5</t>
  </si>
  <si>
    <t>xs:projectStartDate</t>
  </si>
  <si>
    <t>xs:projectEndDate</t>
  </si>
  <si>
    <t>xs:projectApprovalDate</t>
  </si>
  <si>
    <t>xs:icdCode1</t>
  </si>
  <si>
    <t>xs:icdCode2</t>
  </si>
  <si>
    <t>xs:icdCode3</t>
  </si>
  <si>
    <t>ICD_code_tinstr</t>
  </si>
  <si>
    <t>ICD_code_instr</t>
  </si>
  <si>
    <t>Up to a precision of a 4 character code.</t>
  </si>
  <si>
    <t>xs:ntsPreviousVersionExternalLink</t>
  </si>
  <si>
    <t>ntsPreviousVersionExternalLink_label</t>
  </si>
  <si>
    <t>ntsPreviousVersionExternalLink_instr</t>
  </si>
  <si>
    <t>Link to the previous NTS version outside the EC system</t>
  </si>
  <si>
    <t>To be used in transition period where the previous version of the NTS might not exist in the EC system.</t>
  </si>
  <si>
    <t>Indicate if project is falling inside the scope of the Directive or not.</t>
  </si>
  <si>
    <t>xs:ntsId</t>
  </si>
  <si>
    <t>ntsId_label</t>
  </si>
  <si>
    <t>NTS identifier</t>
  </si>
  <si>
    <t>ntsId_instr</t>
  </si>
  <si>
    <t>ntsId_tinstr</t>
  </si>
  <si>
    <t>To be filled-in only when updating NTS already stored in the EC system.</t>
  </si>
  <si>
    <t>PN107</t>
  </si>
  <si>
    <t>Non-EU Purpose</t>
  </si>
  <si>
    <t>xs:custom</t>
  </si>
  <si>
    <t>custom_severity_label</t>
  </si>
  <si>
    <t>MS custom severity</t>
  </si>
  <si>
    <t>Format is dd-mm-yyyy or dd/mm/yyyy depending on your system settings (e.g. 27-05-2022 or 27/05/2022)</t>
  </si>
  <si>
    <t>*</t>
  </si>
  <si>
    <t>(in months)</t>
  </si>
  <si>
    <t>Unique NTS identifier assigned by the central EC system.</t>
  </si>
  <si>
    <t>not_published_instr</t>
  </si>
  <si>
    <t>Field will not be published.</t>
  </si>
  <si>
    <t>Compulsory!</t>
  </si>
  <si>
    <t>National field 1</t>
  </si>
  <si>
    <t>National field 2</t>
  </si>
  <si>
    <t>National field 3</t>
  </si>
  <si>
    <t>National field 4</t>
  </si>
  <si>
    <t>National field 5</t>
  </si>
  <si>
    <t>Please fill-in 'Purpose of the project' sheet.</t>
  </si>
  <si>
    <t>Applicable to those MS where this information is required by the legislation.</t>
  </si>
  <si>
    <t>At least one reason must be chosen!</t>
  </si>
  <si>
    <t>International Classification of Diseases (ICD) code.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</si>
</sst>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yyyy\-mm\-dd;@"/>
    <numFmt numFmtId="165" formatCode="dd/mm/yyyy;@"/>
  </numFmts>
  <fonts count="14" x14ac:knownFonts="1">
    <font>
      <sz val="11"/>
      <color theme="1"/>
      <name val="Calibri"/>
      <family val="2"/>
      <scheme val="minor"/>
    </font>
    <font>
      <b/>
      <sz val="11"/>
      <color theme="1"/>
      <name val="Calibri"/>
      <family val="2"/>
      <scheme val="minor"/>
    </font>
    <font>
      <sz val="8"/>
      <name val="Calibri"/>
      <family val="2"/>
      <scheme val="minor"/>
    </font>
    <font>
      <i/>
      <sz val="11"/>
      <color rgb="FF7F7F7F"/>
      <name val="Calibri"/>
      <family val="2"/>
      <scheme val="minor"/>
    </font>
    <font>
      <sz val="11"/>
      <color theme="1"/>
      <name val="Calibri"/>
      <family val="2"/>
      <scheme val="minor"/>
    </font>
    <font>
      <sz val="18"/>
      <color theme="3"/>
      <name val="Calibri Light"/>
      <family val="2"/>
      <scheme val="major"/>
    </font>
    <font>
      <b/>
      <sz val="11"/>
      <color rgb="FF3F3F3F"/>
      <name val="Calibri"/>
      <family val="2"/>
      <scheme val="minor"/>
    </font>
    <font>
      <i/>
      <sz val="11"/>
      <color theme="0" tint="-0.499984740745262"/>
      <name val="Calibri"/>
      <family val="2"/>
      <scheme val="minor"/>
    </font>
    <font>
      <sz val="11"/>
      <color rgb="FF3F3F3F"/>
      <name val="Calibri"/>
      <family val="2"/>
      <scheme val="minor"/>
    </font>
    <font>
      <u/>
      <sz val="11"/>
      <color theme="10"/>
      <name val="Calibri"/>
      <family val="2"/>
      <scheme val="minor"/>
    </font>
    <font>
      <sz val="10"/>
      <color theme="1"/>
      <name val="Calibri"/>
      <family val="2"/>
      <scheme val="minor"/>
    </font>
    <font>
      <b/>
      <sz val="11"/>
      <color theme="3"/>
      <name val="Calibri"/>
      <family val="2"/>
      <scheme val="minor"/>
    </font>
    <font>
      <b/>
      <u/>
      <sz val="11"/>
      <color theme="10"/>
      <name val="Calibri"/>
      <family val="2"/>
      <scheme val="minor"/>
    </font>
    <font>
      <i/>
      <sz val="11"/>
      <color rgb="FFFF0000"/>
      <name val="Calibri"/>
      <family val="2"/>
      <scheme val="minor"/>
    </font>
  </fonts>
  <fills count="5">
    <fill>
      <patternFill patternType="none"/>
    </fill>
    <fill>
      <patternFill patternType="gray125"/>
    </fill>
    <fill>
      <patternFill patternType="solid">
        <fgColor rgb="FFF2F2F2"/>
      </patternFill>
    </fill>
    <fill>
      <patternFill patternType="solid">
        <fgColor theme="5" tint="0.79998168889431442"/>
        <bgColor indexed="65"/>
      </patternFill>
    </fill>
    <fill>
      <patternFill patternType="solid">
        <fgColor rgb="FFFFFF00"/>
        <bgColor indexed="64"/>
      </patternFill>
    </fill>
  </fills>
  <borders count="28">
    <border>
      <left/>
      <right/>
      <top/>
      <bottom/>
      <diagonal/>
    </border>
    <border>
      <left style="thin">
        <color rgb="FF3F3F3F"/>
      </left>
      <right style="thin">
        <color rgb="FF3F3F3F"/>
      </right>
      <top style="thin">
        <color rgb="FF3F3F3F"/>
      </top>
      <bottom style="thin">
        <color rgb="FF3F3F3F"/>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style="hair">
        <color indexed="64"/>
      </left>
      <right/>
      <top style="hair">
        <color indexed="64"/>
      </top>
      <bottom/>
      <diagonal/>
    </border>
    <border>
      <left/>
      <right/>
      <top style="hair">
        <color indexed="64"/>
      </top>
      <bottom/>
      <diagonal/>
    </border>
    <border>
      <left style="hair">
        <color indexed="64"/>
      </left>
      <right/>
      <top/>
      <bottom/>
      <diagonal/>
    </border>
    <border>
      <left style="hair">
        <color indexed="64"/>
      </left>
      <right/>
      <top/>
      <bottom style="hair">
        <color indexed="64"/>
      </bottom>
      <diagonal/>
    </border>
    <border>
      <left/>
      <right style="hair">
        <color indexed="64"/>
      </right>
      <top style="hair">
        <color indexed="64"/>
      </top>
      <bottom/>
      <diagonal/>
    </border>
    <border>
      <left/>
      <right/>
      <top/>
      <bottom style="medium">
        <color theme="4" tint="0.39997558519241921"/>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indexed="64"/>
      </right>
      <top/>
      <bottom/>
      <diagonal/>
    </border>
    <border>
      <left style="hair">
        <color indexed="64"/>
      </left>
      <right style="hair">
        <color indexed="64"/>
      </right>
      <top style="hair">
        <color indexed="64"/>
      </top>
      <bottom/>
      <diagonal/>
    </border>
  </borders>
  <cellStyleXfs count="7">
    <xf numFmtId="0" fontId="0" fillId="0" borderId="0"/>
    <xf numFmtId="0" fontId="3" fillId="0" borderId="0" applyNumberFormat="0" applyFill="0" applyBorder="0" applyAlignment="0" applyProtection="0"/>
    <xf numFmtId="0" fontId="5" fillId="0" borderId="0" applyNumberFormat="0" applyFill="0" applyBorder="0" applyAlignment="0" applyProtection="0"/>
    <xf numFmtId="0" fontId="6" fillId="2" borderId="1" applyNumberFormat="0" applyAlignment="0" applyProtection="0"/>
    <xf numFmtId="0" fontId="4" fillId="3" borderId="0" applyNumberFormat="0" applyBorder="0" applyAlignment="0" applyProtection="0"/>
    <xf numFmtId="0" fontId="9" fillId="0" borderId="0" applyNumberFormat="0" applyFill="0" applyBorder="0" applyAlignment="0" applyProtection="0"/>
    <xf numFmtId="0" fontId="11" fillId="0" borderId="20" applyNumberFormat="0" applyFill="0" applyAlignment="0" applyProtection="0"/>
  </cellStyleXfs>
  <cellXfs count="156">
    <xf numFmtId="0" fontId="0" fillId="0" borderId="0" xfId="0"/>
    <xf numFmtId="0" fontId="1" fillId="0" borderId="0" xfId="0" applyFont="1"/>
    <xf numFmtId="0" fontId="0" fillId="0" borderId="0" xfId="0" applyProtection="1">
      <protection locked="0"/>
    </xf>
    <xf numFmtId="0" fontId="0" fillId="0" borderId="0" xfId="0" applyAlignment="1">
      <alignment horizontal="left" vertical="top"/>
    </xf>
    <xf numFmtId="0" fontId="0" fillId="0" borderId="0" xfId="0" applyAlignment="1" applyProtection="1">
      <alignment horizontal="left" vertical="top"/>
    </xf>
    <xf numFmtId="0" fontId="0" fillId="0" borderId="0" xfId="0" applyNumberFormat="1" applyAlignment="1" applyProtection="1">
      <alignment horizontal="left" vertical="top"/>
    </xf>
    <xf numFmtId="0" fontId="1" fillId="0" borderId="0" xfId="0" applyFont="1" applyAlignment="1" applyProtection="1">
      <alignment horizontal="left" vertical="top"/>
    </xf>
    <xf numFmtId="1" fontId="0" fillId="0" borderId="0" xfId="0" applyNumberFormat="1" applyAlignment="1" applyProtection="1">
      <alignment horizontal="left" vertical="top"/>
    </xf>
    <xf numFmtId="49" fontId="0" fillId="0" borderId="0" xfId="0" applyNumberFormat="1" applyAlignment="1" applyProtection="1">
      <alignment horizontal="left" vertical="top"/>
    </xf>
    <xf numFmtId="0" fontId="0" fillId="0" borderId="0" xfId="0" applyBorder="1"/>
    <xf numFmtId="49" fontId="0" fillId="0" borderId="0" xfId="0" applyNumberFormat="1" applyProtection="1">
      <protection locked="0"/>
    </xf>
    <xf numFmtId="0" fontId="0" fillId="0" borderId="0" xfId="0" applyProtection="1"/>
    <xf numFmtId="0" fontId="3" fillId="0" borderId="0" xfId="1" applyAlignment="1">
      <alignment vertical="top"/>
    </xf>
    <xf numFmtId="0" fontId="0" fillId="0" borderId="0" xfId="0" applyBorder="1" applyAlignment="1">
      <alignment horizontal="left" vertical="top"/>
    </xf>
    <xf numFmtId="0" fontId="1" fillId="0" borderId="0" xfId="0" applyFont="1" applyAlignment="1">
      <alignment horizontal="left" vertical="top"/>
    </xf>
    <xf numFmtId="0" fontId="1" fillId="0" borderId="3" xfId="0" applyFont="1" applyBorder="1"/>
    <xf numFmtId="0" fontId="1" fillId="0" borderId="4" xfId="0" applyFont="1" applyBorder="1"/>
    <xf numFmtId="0" fontId="1" fillId="0" borderId="5" xfId="0" applyFont="1" applyBorder="1"/>
    <xf numFmtId="0" fontId="0" fillId="0" borderId="11" xfId="0" applyBorder="1" applyAlignment="1">
      <alignment horizontal="left" vertical="top"/>
    </xf>
    <xf numFmtId="0" fontId="0" fillId="0" borderId="12" xfId="0" quotePrefix="1" applyBorder="1" applyAlignment="1">
      <alignment horizontal="left" vertical="top"/>
    </xf>
    <xf numFmtId="0" fontId="0" fillId="0" borderId="12" xfId="0" applyBorder="1" applyAlignment="1">
      <alignment horizontal="left" vertical="top"/>
    </xf>
    <xf numFmtId="0" fontId="0" fillId="0" borderId="2" xfId="0" applyBorder="1" applyAlignment="1">
      <alignment horizontal="left" vertical="top"/>
    </xf>
    <xf numFmtId="0" fontId="0" fillId="0" borderId="0" xfId="0" quotePrefix="1" applyBorder="1" applyAlignment="1">
      <alignment horizontal="left" vertical="top"/>
    </xf>
    <xf numFmtId="0" fontId="0" fillId="0" borderId="0" xfId="0" applyNumberFormat="1" applyAlignment="1">
      <alignment horizontal="left" vertical="top"/>
    </xf>
    <xf numFmtId="0" fontId="0" fillId="0" borderId="0" xfId="0" applyFont="1" applyAlignment="1" applyProtection="1"/>
    <xf numFmtId="0" fontId="0" fillId="0" borderId="0" xfId="0" applyNumberFormat="1" applyAlignment="1" applyProtection="1">
      <alignment horizontal="left" vertical="top" wrapText="1"/>
    </xf>
    <xf numFmtId="49" fontId="0" fillId="0" borderId="0" xfId="0" applyNumberFormat="1" applyAlignment="1" applyProtection="1">
      <alignment horizontal="left" vertical="top" wrapText="1"/>
    </xf>
    <xf numFmtId="0" fontId="0" fillId="0" borderId="0" xfId="0" applyFont="1" applyAlignment="1">
      <alignment horizontal="left" vertical="top"/>
    </xf>
    <xf numFmtId="0" fontId="8" fillId="2" borderId="13" xfId="3" applyFont="1" applyBorder="1" applyAlignment="1" applyProtection="1">
      <alignment horizontal="left" vertical="top" wrapText="1" shrinkToFit="1"/>
      <protection locked="0"/>
    </xf>
    <xf numFmtId="0" fontId="8" fillId="2" borderId="13" xfId="3" applyFont="1" applyBorder="1" applyAlignment="1" applyProtection="1">
      <alignment horizontal="left" vertical="top" wrapText="1"/>
      <protection locked="0"/>
    </xf>
    <xf numFmtId="0" fontId="8" fillId="2" borderId="13" xfId="3" applyFont="1" applyBorder="1" applyAlignment="1" applyProtection="1">
      <alignment horizontal="left" vertical="top"/>
      <protection locked="0"/>
    </xf>
    <xf numFmtId="0" fontId="0" fillId="0" borderId="0" xfId="0" applyFont="1" applyAlignment="1">
      <alignment horizontal="left" vertical="top" indent="2"/>
    </xf>
    <xf numFmtId="0" fontId="1" fillId="0" borderId="0" xfId="0" applyFont="1" applyBorder="1" applyAlignment="1">
      <alignment horizontal="left" vertical="top"/>
    </xf>
    <xf numFmtId="0" fontId="3" fillId="0" borderId="17" xfId="1" applyBorder="1" applyAlignment="1">
      <alignment vertical="top"/>
    </xf>
    <xf numFmtId="0" fontId="0" fillId="0" borderId="0" xfId="0" applyAlignment="1">
      <alignment horizontal="left" vertical="top"/>
    </xf>
    <xf numFmtId="0" fontId="3" fillId="0" borderId="0" xfId="1" applyBorder="1" applyAlignment="1">
      <alignment vertical="top"/>
    </xf>
    <xf numFmtId="0" fontId="1" fillId="0" borderId="16" xfId="0" applyFont="1" applyBorder="1" applyAlignment="1">
      <alignment horizontal="left" vertical="top"/>
    </xf>
    <xf numFmtId="164" fontId="0" fillId="0" borderId="0" xfId="0" applyNumberFormat="1" applyAlignment="1" applyProtection="1">
      <alignment horizontal="left" vertical="top"/>
    </xf>
    <xf numFmtId="0" fontId="0" fillId="0" borderId="0" xfId="0" applyFont="1" applyAlignment="1" applyProtection="1">
      <alignment horizontal="left" vertical="top"/>
    </xf>
    <xf numFmtId="0" fontId="7" fillId="0" borderId="0" xfId="0" applyFont="1" applyBorder="1" applyAlignment="1">
      <alignment horizontal="left" vertical="top"/>
    </xf>
    <xf numFmtId="0" fontId="1" fillId="0" borderId="0" xfId="0" applyFont="1" applyAlignment="1">
      <alignment horizontal="left" vertical="top"/>
    </xf>
    <xf numFmtId="0" fontId="7" fillId="0" borderId="0" xfId="1" applyFont="1" applyAlignment="1">
      <alignment horizontal="left" vertical="top" wrapText="1"/>
    </xf>
    <xf numFmtId="0" fontId="0" fillId="0" borderId="0" xfId="0" applyAlignment="1">
      <alignment horizontal="left" vertical="top"/>
    </xf>
    <xf numFmtId="0" fontId="0" fillId="0" borderId="0" xfId="0" applyFont="1" applyAlignment="1">
      <alignment horizontal="left" vertical="top"/>
    </xf>
    <xf numFmtId="0" fontId="7" fillId="0" borderId="0" xfId="0" applyFont="1" applyAlignment="1">
      <alignment horizontal="left" vertical="top"/>
    </xf>
    <xf numFmtId="1" fontId="0" fillId="0" borderId="0" xfId="0" applyNumberFormat="1" applyProtection="1">
      <protection locked="0"/>
    </xf>
    <xf numFmtId="0" fontId="3" fillId="0" borderId="0" xfId="1" applyAlignment="1" applyProtection="1">
      <alignment vertical="top"/>
    </xf>
    <xf numFmtId="0" fontId="0" fillId="0" borderId="0" xfId="0" applyFill="1" applyBorder="1"/>
    <xf numFmtId="0" fontId="0" fillId="0" borderId="0" xfId="0" applyFont="1"/>
    <xf numFmtId="0" fontId="0" fillId="0" borderId="0" xfId="0" applyNumberFormat="1" applyProtection="1"/>
    <xf numFmtId="0" fontId="7" fillId="0" borderId="0" xfId="0" applyFont="1" applyProtection="1"/>
    <xf numFmtId="0" fontId="7" fillId="0" borderId="0" xfId="0" applyFont="1" applyAlignment="1">
      <alignment horizontal="left" vertical="top" wrapText="1"/>
    </xf>
    <xf numFmtId="0" fontId="5" fillId="0" borderId="0" xfId="2" applyAlignment="1" applyProtection="1">
      <alignment vertical="center"/>
    </xf>
    <xf numFmtId="0" fontId="11" fillId="0" borderId="20" xfId="6" applyAlignment="1" applyProtection="1">
      <alignment horizontal="center"/>
    </xf>
    <xf numFmtId="0" fontId="5" fillId="0" borderId="0" xfId="2" applyProtection="1"/>
    <xf numFmtId="0" fontId="11" fillId="0" borderId="20" xfId="6" applyProtection="1"/>
    <xf numFmtId="0" fontId="0" fillId="0" borderId="0" xfId="0" applyAlignment="1" applyProtection="1">
      <alignment horizontal="right"/>
    </xf>
    <xf numFmtId="49" fontId="0" fillId="0" borderId="0" xfId="0" applyNumberFormat="1" applyProtection="1"/>
    <xf numFmtId="0" fontId="0" fillId="0" borderId="6" xfId="0" applyBorder="1" applyProtection="1">
      <protection locked="0"/>
    </xf>
    <xf numFmtId="0" fontId="0" fillId="0" borderId="0" xfId="0" applyBorder="1" applyProtection="1">
      <protection locked="0"/>
    </xf>
    <xf numFmtId="0" fontId="0" fillId="0" borderId="7" xfId="0" applyBorder="1" applyProtection="1">
      <protection locked="0"/>
    </xf>
    <xf numFmtId="0" fontId="0" fillId="0" borderId="8" xfId="0" applyBorder="1" applyProtection="1">
      <protection locked="0"/>
    </xf>
    <xf numFmtId="0" fontId="0" fillId="0" borderId="9" xfId="0" applyBorder="1" applyProtection="1">
      <protection locked="0"/>
    </xf>
    <xf numFmtId="0" fontId="0" fillId="0" borderId="10" xfId="0" applyBorder="1" applyProtection="1">
      <protection locked="0"/>
    </xf>
    <xf numFmtId="0" fontId="0" fillId="0" borderId="0" xfId="0" applyFont="1" applyBorder="1" applyProtection="1">
      <protection locked="0"/>
    </xf>
    <xf numFmtId="0" fontId="0" fillId="0" borderId="9" xfId="0" applyFont="1" applyBorder="1" applyProtection="1">
      <protection locked="0"/>
    </xf>
    <xf numFmtId="0" fontId="0" fillId="0" borderId="9" xfId="0" applyFill="1" applyBorder="1" applyProtection="1">
      <protection locked="0"/>
    </xf>
    <xf numFmtId="0" fontId="0" fillId="0" borderId="6" xfId="0" applyFont="1" applyBorder="1" applyProtection="1">
      <protection locked="0"/>
    </xf>
    <xf numFmtId="0" fontId="0" fillId="0" borderId="7" xfId="0" applyFont="1" applyBorder="1" applyProtection="1">
      <protection locked="0"/>
    </xf>
    <xf numFmtId="0" fontId="0" fillId="0" borderId="0" xfId="0" applyFont="1" applyFill="1" applyBorder="1" applyProtection="1">
      <protection locked="0"/>
    </xf>
    <xf numFmtId="0" fontId="0" fillId="0" borderId="8" xfId="0" applyFont="1" applyBorder="1" applyProtection="1">
      <protection locked="0"/>
    </xf>
    <xf numFmtId="0" fontId="0" fillId="0" borderId="10" xfId="0" applyFont="1" applyBorder="1" applyProtection="1">
      <protection locked="0"/>
    </xf>
    <xf numFmtId="165" fontId="8" fillId="2" borderId="13" xfId="3" applyNumberFormat="1" applyFont="1" applyBorder="1" applyAlignment="1" applyProtection="1">
      <alignment horizontal="left" vertical="top" wrapText="1"/>
      <protection locked="0"/>
    </xf>
    <xf numFmtId="0" fontId="0" fillId="0" borderId="0" xfId="0" applyFill="1" applyBorder="1" applyProtection="1">
      <protection locked="0"/>
    </xf>
    <xf numFmtId="0" fontId="0" fillId="0" borderId="0" xfId="0" applyAlignment="1">
      <alignment horizontal="left" vertical="top"/>
    </xf>
    <xf numFmtId="0" fontId="0" fillId="0" borderId="0" xfId="0" applyFont="1" applyAlignment="1">
      <alignment horizontal="left" vertical="top"/>
    </xf>
    <xf numFmtId="0" fontId="0" fillId="0" borderId="3" xfId="0" applyBorder="1" applyAlignment="1" applyProtection="1">
      <alignment horizontal="left" vertical="top"/>
      <protection locked="0"/>
    </xf>
    <xf numFmtId="0" fontId="0" fillId="0" borderId="5" xfId="0" applyBorder="1" applyAlignment="1" applyProtection="1">
      <alignment horizontal="left" vertical="top"/>
      <protection locked="0"/>
    </xf>
    <xf numFmtId="0" fontId="0" fillId="0" borderId="6" xfId="0" applyBorder="1" applyAlignment="1" applyProtection="1">
      <alignment horizontal="left" vertical="top"/>
      <protection locked="0"/>
    </xf>
    <xf numFmtId="0" fontId="0" fillId="0" borderId="8" xfId="0" applyBorder="1" applyAlignment="1" applyProtection="1">
      <alignment horizontal="left" vertical="top"/>
      <protection locked="0"/>
    </xf>
    <xf numFmtId="0" fontId="0" fillId="0" borderId="4" xfId="0" applyBorder="1" applyAlignment="1" applyProtection="1">
      <alignment horizontal="left" vertical="top"/>
      <protection locked="0"/>
    </xf>
    <xf numFmtId="0" fontId="1" fillId="0" borderId="3" xfId="0" applyFont="1" applyBorder="1" applyProtection="1"/>
    <xf numFmtId="0" fontId="1" fillId="0" borderId="4" xfId="0" applyFont="1" applyBorder="1" applyProtection="1"/>
    <xf numFmtId="0" fontId="1" fillId="0" borderId="5" xfId="0" applyFont="1" applyBorder="1" applyProtection="1"/>
    <xf numFmtId="0" fontId="0" fillId="0" borderId="0" xfId="0" applyAlignment="1">
      <alignment horizontal="left" vertical="top" wrapText="1"/>
    </xf>
    <xf numFmtId="0" fontId="1" fillId="0" borderId="23" xfId="0" applyFont="1" applyBorder="1"/>
    <xf numFmtId="0" fontId="1" fillId="0" borderId="24" xfId="0" applyFont="1" applyBorder="1"/>
    <xf numFmtId="0" fontId="1" fillId="0" borderId="25" xfId="0" applyFont="1" applyBorder="1"/>
    <xf numFmtId="0" fontId="0" fillId="0" borderId="0" xfId="0" quotePrefix="1" applyBorder="1" applyAlignment="1" applyProtection="1">
      <alignment horizontal="left" vertical="top"/>
      <protection locked="0"/>
    </xf>
    <xf numFmtId="0" fontId="0" fillId="0" borderId="0" xfId="0" applyBorder="1" applyAlignment="1" applyProtection="1">
      <alignment horizontal="left" vertical="top"/>
      <protection locked="0"/>
    </xf>
    <xf numFmtId="0" fontId="0" fillId="0" borderId="9" xfId="0" applyBorder="1" applyAlignment="1" applyProtection="1">
      <alignment horizontal="left" vertical="top"/>
      <protection locked="0"/>
    </xf>
    <xf numFmtId="0" fontId="0" fillId="0" borderId="0" xfId="0" applyFont="1" applyBorder="1" applyAlignment="1" applyProtection="1">
      <alignment horizontal="left" vertical="top"/>
      <protection locked="0"/>
    </xf>
    <xf numFmtId="0" fontId="0" fillId="0" borderId="0" xfId="0" applyBorder="1" applyProtection="1"/>
    <xf numFmtId="0" fontId="0" fillId="4" borderId="0" xfId="0" applyFill="1" applyBorder="1" applyProtection="1"/>
    <xf numFmtId="0" fontId="0" fillId="0" borderId="0" xfId="0" applyAlignment="1">
      <alignment horizontal="left" vertical="top"/>
    </xf>
    <xf numFmtId="0" fontId="0" fillId="0" borderId="0" xfId="0" applyFont="1" applyAlignment="1">
      <alignment horizontal="left" vertical="top"/>
    </xf>
    <xf numFmtId="0" fontId="0" fillId="0" borderId="0" xfId="0" applyFont="1" applyProtection="1"/>
    <xf numFmtId="0" fontId="1" fillId="0" borderId="0" xfId="0" applyFont="1" applyProtection="1"/>
    <xf numFmtId="0" fontId="1" fillId="0" borderId="0" xfId="0" applyFont="1" applyFill="1" applyBorder="1" applyProtection="1"/>
    <xf numFmtId="0" fontId="0" fillId="4" borderId="0" xfId="0" applyFill="1" applyProtection="1"/>
    <xf numFmtId="0" fontId="0" fillId="0" borderId="0" xfId="0" applyFill="1" applyProtection="1"/>
    <xf numFmtId="0" fontId="1" fillId="0" borderId="24" xfId="0" applyFont="1" applyBorder="1" applyProtection="1"/>
    <xf numFmtId="0" fontId="0" fillId="0" borderId="9" xfId="0" applyBorder="1" applyProtection="1"/>
    <xf numFmtId="0" fontId="0" fillId="0" borderId="0" xfId="0" applyFont="1" applyBorder="1" applyProtection="1"/>
    <xf numFmtId="0" fontId="0" fillId="0" borderId="9" xfId="0" applyFont="1" applyBorder="1" applyProtection="1"/>
    <xf numFmtId="0" fontId="0" fillId="0" borderId="0" xfId="0" applyFill="1" applyBorder="1" applyProtection="1"/>
    <xf numFmtId="0" fontId="0" fillId="0" borderId="0" xfId="0" applyFont="1" applyBorder="1" applyAlignment="1" applyProtection="1">
      <alignment horizontal="left" vertical="top"/>
    </xf>
    <xf numFmtId="0" fontId="10" fillId="0" borderId="0" xfId="0" applyFont="1" applyBorder="1" applyProtection="1"/>
    <xf numFmtId="0" fontId="0" fillId="0" borderId="9" xfId="0" applyFill="1" applyBorder="1" applyProtection="1"/>
    <xf numFmtId="0" fontId="1" fillId="0" borderId="15" xfId="0" applyFont="1" applyBorder="1" applyAlignment="1">
      <alignment horizontal="left"/>
    </xf>
    <xf numFmtId="0" fontId="1" fillId="0" borderId="16" xfId="0" applyFont="1" applyBorder="1" applyAlignment="1">
      <alignment horizontal="left"/>
    </xf>
    <xf numFmtId="0" fontId="8" fillId="2" borderId="13" xfId="3" applyFont="1" applyBorder="1" applyAlignment="1" applyProtection="1">
      <alignment horizontal="left" vertical="top" wrapText="1"/>
      <protection locked="0"/>
    </xf>
    <xf numFmtId="0" fontId="1" fillId="0" borderId="0" xfId="0" applyFont="1" applyAlignment="1">
      <alignment horizontal="left" vertical="top"/>
    </xf>
    <xf numFmtId="0" fontId="0" fillId="0" borderId="0" xfId="0" applyAlignment="1">
      <alignment horizontal="left" vertical="top"/>
    </xf>
    <xf numFmtId="0" fontId="0" fillId="0" borderId="0" xfId="0" applyFont="1" applyAlignment="1">
      <alignment horizontal="left" vertical="top"/>
    </xf>
    <xf numFmtId="0" fontId="11" fillId="0" borderId="20" xfId="6" applyAlignment="1" applyProtection="1">
      <alignment horizontal="center" vertical="center"/>
    </xf>
    <xf numFmtId="0" fontId="0" fillId="0" borderId="0" xfId="0" applyFont="1" applyAlignment="1">
      <alignment horizontal="left" vertical="top" wrapText="1"/>
    </xf>
    <xf numFmtId="49" fontId="8" fillId="2" borderId="13" xfId="3" applyNumberFormat="1" applyFont="1" applyBorder="1" applyAlignment="1" applyProtection="1">
      <alignment horizontal="left" vertical="top" wrapText="1"/>
      <protection locked="0"/>
    </xf>
    <xf numFmtId="0" fontId="13" fillId="0" borderId="0" xfId="1" applyFont="1" applyAlignment="1">
      <alignment vertical="top"/>
    </xf>
    <xf numFmtId="0" fontId="13" fillId="0" borderId="17" xfId="1" applyFont="1" applyBorder="1" applyAlignment="1">
      <alignment vertical="top"/>
    </xf>
    <xf numFmtId="0" fontId="1" fillId="0" borderId="0" xfId="0" applyFont="1" applyBorder="1" applyAlignment="1">
      <alignment horizontal="left" vertical="top"/>
    </xf>
    <xf numFmtId="0" fontId="0" fillId="0" borderId="0" xfId="0" applyBorder="1" applyAlignment="1" applyProtection="1">
      <alignment horizontal="center" vertical="top"/>
    </xf>
    <xf numFmtId="49" fontId="8" fillId="2" borderId="13" xfId="3" applyNumberFormat="1" applyFont="1" applyBorder="1" applyAlignment="1" applyProtection="1">
      <alignment horizontal="left" vertical="top"/>
      <protection locked="0"/>
    </xf>
    <xf numFmtId="0" fontId="0" fillId="0" borderId="16" xfId="0" applyFont="1" applyBorder="1" applyAlignment="1">
      <alignment horizontal="left" vertical="top"/>
    </xf>
    <xf numFmtId="0" fontId="1" fillId="0" borderId="16" xfId="0" applyFont="1" applyBorder="1" applyAlignment="1">
      <alignment horizontal="left" vertical="top"/>
    </xf>
    <xf numFmtId="0" fontId="0" fillId="0" borderId="0" xfId="0" applyFont="1" applyAlignment="1">
      <alignment horizontal="left" vertical="top"/>
    </xf>
    <xf numFmtId="0" fontId="0" fillId="0" borderId="16" xfId="0" applyBorder="1"/>
    <xf numFmtId="0" fontId="0" fillId="0" borderId="0" xfId="0" applyNumberFormat="1" applyBorder="1" applyAlignment="1" applyProtection="1">
      <alignment horizontal="left" vertical="top" wrapText="1"/>
    </xf>
    <xf numFmtId="0" fontId="0" fillId="0" borderId="0" xfId="0" applyFont="1" applyBorder="1" applyAlignment="1">
      <alignment horizontal="left" vertical="top"/>
    </xf>
    <xf numFmtId="0" fontId="8" fillId="2" borderId="13" xfId="3" applyFont="1" applyBorder="1" applyAlignment="1" applyProtection="1">
      <alignment horizontal="left" vertical="top" wrapText="1"/>
      <protection locked="0"/>
    </xf>
    <xf numFmtId="49" fontId="8" fillId="2" borderId="13" xfId="3" applyNumberFormat="1" applyFont="1" applyBorder="1" applyAlignment="1" applyProtection="1">
      <alignment horizontal="left" vertical="top" wrapText="1"/>
      <protection locked="0"/>
    </xf>
    <xf numFmtId="0" fontId="0" fillId="0" borderId="0" xfId="0" applyAlignment="1">
      <alignment horizontal="left" vertical="top"/>
    </xf>
    <xf numFmtId="0" fontId="5" fillId="0" borderId="0" xfId="2" applyAlignment="1">
      <alignment horizontal="left" vertical="top"/>
    </xf>
    <xf numFmtId="0" fontId="1" fillId="0" borderId="15" xfId="0" applyFont="1" applyBorder="1" applyAlignment="1">
      <alignment horizontal="left"/>
    </xf>
    <xf numFmtId="0" fontId="1" fillId="0" borderId="16" xfId="0" applyFont="1" applyBorder="1" applyAlignment="1">
      <alignment horizontal="left"/>
    </xf>
    <xf numFmtId="0" fontId="0" fillId="0" borderId="17" xfId="0" applyBorder="1" applyAlignment="1">
      <alignment horizontal="center"/>
    </xf>
    <xf numFmtId="0" fontId="0" fillId="0" borderId="0" xfId="0" applyBorder="1" applyAlignment="1">
      <alignment horizontal="center"/>
    </xf>
    <xf numFmtId="0" fontId="0" fillId="0" borderId="18" xfId="0" applyBorder="1" applyAlignment="1">
      <alignment horizontal="center"/>
    </xf>
    <xf numFmtId="0" fontId="0" fillId="0" borderId="14" xfId="0" applyBorder="1" applyAlignment="1">
      <alignment horizontal="center"/>
    </xf>
    <xf numFmtId="49" fontId="8" fillId="2" borderId="21" xfId="3" applyNumberFormat="1" applyFont="1" applyBorder="1" applyAlignment="1" applyProtection="1">
      <alignment horizontal="left" vertical="top" wrapText="1"/>
      <protection locked="0"/>
    </xf>
    <xf numFmtId="49" fontId="8" fillId="2" borderId="22" xfId="3" applyNumberFormat="1" applyFont="1" applyBorder="1" applyAlignment="1" applyProtection="1">
      <alignment horizontal="left" vertical="top" wrapText="1"/>
      <protection locked="0"/>
    </xf>
    <xf numFmtId="0" fontId="8" fillId="2" borderId="13" xfId="3" applyFont="1" applyBorder="1" applyAlignment="1" applyProtection="1">
      <alignment horizontal="left" vertical="top"/>
      <protection locked="0"/>
    </xf>
    <xf numFmtId="49" fontId="8" fillId="2" borderId="27" xfId="3" applyNumberFormat="1" applyFont="1" applyBorder="1" applyAlignment="1" applyProtection="1">
      <alignment horizontal="left" vertical="top"/>
      <protection locked="0"/>
    </xf>
    <xf numFmtId="0" fontId="7" fillId="3" borderId="17" xfId="4" applyFont="1" applyBorder="1" applyAlignment="1" applyProtection="1">
      <alignment horizontal="left" vertical="top"/>
    </xf>
    <xf numFmtId="0" fontId="7" fillId="3" borderId="26" xfId="4" applyFont="1" applyBorder="1" applyAlignment="1" applyProtection="1">
      <alignment horizontal="left" vertical="top"/>
    </xf>
    <xf numFmtId="0" fontId="7" fillId="3" borderId="0" xfId="4" applyFont="1" applyBorder="1" applyAlignment="1">
      <alignment horizontal="left" vertical="top"/>
    </xf>
    <xf numFmtId="0" fontId="12" fillId="0" borderId="0" xfId="5" applyFont="1" applyAlignment="1" applyProtection="1">
      <alignment vertical="top"/>
      <protection locked="0" hidden="1"/>
    </xf>
    <xf numFmtId="0" fontId="1" fillId="0" borderId="0" xfId="0" applyFont="1" applyAlignment="1">
      <alignment horizontal="left" vertical="top"/>
    </xf>
    <xf numFmtId="0" fontId="12" fillId="0" borderId="0" xfId="5" applyFont="1" applyBorder="1" applyAlignment="1" applyProtection="1">
      <alignment horizontal="left" vertical="top"/>
      <protection locked="0"/>
    </xf>
    <xf numFmtId="0" fontId="12" fillId="0" borderId="16" xfId="5" applyFont="1" applyBorder="1" applyAlignment="1" applyProtection="1">
      <alignment vertical="top"/>
      <protection locked="0" hidden="1"/>
    </xf>
    <xf numFmtId="0" fontId="12" fillId="0" borderId="19" xfId="5" applyFont="1" applyBorder="1" applyAlignment="1" applyProtection="1">
      <alignment vertical="top"/>
      <protection locked="0" hidden="1"/>
    </xf>
    <xf numFmtId="0" fontId="1" fillId="0" borderId="26" xfId="0" applyFont="1" applyBorder="1" applyAlignment="1">
      <alignment horizontal="left" vertical="top"/>
    </xf>
    <xf numFmtId="0" fontId="1" fillId="0" borderId="0" xfId="0" applyFont="1" applyBorder="1" applyAlignment="1" applyProtection="1">
      <alignment horizontal="left" vertical="top"/>
    </xf>
    <xf numFmtId="0" fontId="0" fillId="0" borderId="14" xfId="0" applyFont="1" applyBorder="1" applyAlignment="1">
      <alignment horizontal="left" vertical="top"/>
    </xf>
    <xf numFmtId="0" fontId="11" fillId="0" borderId="20" xfId="6" applyAlignment="1" applyProtection="1">
      <alignment horizontal="center" vertical="center"/>
    </xf>
    <xf numFmtId="0" fontId="11" fillId="0" borderId="0" xfId="6" applyBorder="1" applyAlignment="1" applyProtection="1">
      <alignment horizontal="center" vertical="center" wrapText="1"/>
    </xf>
  </cellXfs>
  <cellStyles count="7">
    <cellStyle name="20% - Accent2" xfId="4" builtinId="34"/>
    <cellStyle name="Explanatory Text" xfId="1" builtinId="53"/>
    <cellStyle name="Heading 3" xfId="6" builtinId="18"/>
    <cellStyle name="Hyperlink" xfId="5" builtinId="8"/>
    <cellStyle name="Normal" xfId="0" builtinId="0"/>
    <cellStyle name="Output" xfId="3" builtinId="21"/>
    <cellStyle name="Title" xfId="2" builtinId="15"/>
  </cellStyles>
  <dxfs count="44">
    <dxf>
      <protection locked="0" hidden="0"/>
    </dxf>
    <dxf>
      <protection locked="0" hidden="0"/>
    </dxf>
    <dxf>
      <protection locked="0" hidden="0"/>
    </dxf>
    <dxf>
      <numFmt numFmtId="30" formatCode="@"/>
      <protection locked="0" hidden="0"/>
    </dxf>
    <dxf>
      <protection locked="1" hidden="0"/>
    </dxf>
    <dxf>
      <protection locked="1" hidden="0"/>
    </dxf>
    <dxf>
      <fill>
        <patternFill>
          <bgColor theme="5" tint="0.79998168889431442"/>
        </patternFill>
      </fill>
    </dxf>
    <dxf>
      <fill>
        <patternFill>
          <bgColor theme="5" tint="0.79998168889431442"/>
        </patternFill>
      </fill>
    </dxf>
    <dxf>
      <font>
        <color rgb="FF9C0006"/>
      </font>
      <fill>
        <patternFill>
          <bgColor rgb="FFFFC7CE"/>
        </patternFill>
      </fill>
    </dxf>
    <dxf>
      <protection locked="0" hidden="0"/>
    </dxf>
    <dxf>
      <protection locked="0" hidden="0"/>
    </dxf>
    <dxf>
      <protection locked="0" hidden="0"/>
    </dxf>
    <dxf>
      <protection locked="0" hidden="0"/>
    </dxf>
    <dxf>
      <numFmt numFmtId="1" formatCode="0"/>
      <protection locked="0" hidden="0"/>
    </dxf>
    <dxf>
      <numFmt numFmtId="30" formatCode="@"/>
      <protection locked="0" hidden="0"/>
    </dxf>
    <dxf>
      <protection locked="1" hidden="0"/>
    </dxf>
    <dxf>
      <protection locked="1" hidden="0"/>
    </dxf>
    <dxf>
      <fill>
        <patternFill>
          <bgColor theme="5" tint="0.79998168889431442"/>
        </patternFill>
      </fill>
    </dxf>
    <dxf>
      <fill>
        <patternFill>
          <bgColor theme="5" tint="0.79998168889431442"/>
        </patternFill>
      </fill>
    </dxf>
    <dxf>
      <font>
        <color rgb="FF9C0006"/>
      </font>
      <fill>
        <patternFill>
          <bgColor rgb="FFFFC7CE"/>
        </patternFill>
      </fill>
    </dxf>
    <dxf>
      <numFmt numFmtId="30" formatCode="@"/>
      <protection locked="0" hidden="0"/>
    </dxf>
    <dxf>
      <font>
        <color rgb="FF9C0006"/>
      </font>
      <fill>
        <patternFill>
          <bgColor rgb="FFFFC7CE"/>
        </patternFill>
      </fill>
    </dxf>
    <dxf>
      <numFmt numFmtId="0" formatCode="General"/>
      <alignment horizontal="left" vertical="top" textRotation="0" indent="0" justifyLastLine="0" shrinkToFit="0" readingOrder="0"/>
      <protection locked="1" hidden="0"/>
    </dxf>
    <dxf>
      <numFmt numFmtId="0" formatCode="General"/>
      <alignment horizontal="left" vertical="top" textRotation="0" indent="0" justifyLastLine="0" shrinkToFit="0" readingOrder="0"/>
      <protection locked="1" hidden="0"/>
    </dxf>
    <dxf>
      <numFmt numFmtId="0" formatCode="General"/>
      <alignment horizontal="left" vertical="top" textRotation="0" indent="0" justifyLastLine="0" shrinkToFit="0" readingOrder="0"/>
      <protection locked="1" hidden="0"/>
    </dxf>
    <dxf>
      <fill>
        <patternFill patternType="solid">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id="36" name="keywords" displayName="keywords" ref="B9:B14" totalsRowShown="0" headerRowDxfId="24" dataDxfId="23">
  <tableColumns count="1">
    <tableColumn id="1" name="xs:keyword" dataDxfId="22">
      <calculatedColumnFormula>IF(TRIM(D10)="","",D10)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id="5" name="purposes" displayName="purposes" ref="A2:A45" totalsRowShown="0">
  <autoFilter ref="A2:A45"/>
  <tableColumns count="1">
    <tableColumn id="2" name="Purpose" dataDxfId="20"/>
  </tableColumns>
  <tableStyleInfo name="TableStyleMedium2" showFirstColumn="0" showLastColumn="0" showRowStripes="1" showColumnStripes="0"/>
</table>
</file>

<file path=xl/tables/table3.xml><?xml version="1.0" encoding="utf-8"?>
<table xmlns="http://schemas.openxmlformats.org/spreadsheetml/2006/main" id="35" name="expected_severities" displayName="expected_severities" ref="A3:F42" totalsRowShown="0" headerRowDxfId="16" dataDxfId="15">
  <tableColumns count="6">
    <tableColumn id="6" name="xs:species" dataDxfId="14"/>
    <tableColumn id="2" name="xs:nonRecovery" dataDxfId="13"/>
    <tableColumn id="3" name="xs:mild" dataDxfId="12"/>
    <tableColumn id="4" name="xs:moderate" dataDxfId="11"/>
    <tableColumn id="5" name="xs:severe" dataDxfId="10"/>
    <tableColumn id="10" name="xs:custom" dataDxfId="9"/>
  </tableColumns>
  <tableStyleInfo name="TableStyleMedium2" showFirstColumn="0" showLastColumn="0" showRowStripes="1" showColumnStripes="0"/>
</table>
</file>

<file path=xl/tables/table4.xml><?xml version="1.0" encoding="utf-8"?>
<table xmlns="http://schemas.openxmlformats.org/spreadsheetml/2006/main" id="37" name="fate_of_animals" displayName="fate_of_animals" ref="A3:D42" totalsRowShown="0" headerRowDxfId="5" dataDxfId="4">
  <tableColumns count="4">
    <tableColumn id="5" name="xs:species" dataDxfId="3"/>
    <tableColumn id="2" name="xs:reused" dataDxfId="2"/>
    <tableColumn id="3" name="xs:returned" dataDxfId="1"/>
    <tableColumn id="4" name="xs:rehomed"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I60"/>
  <sheetViews>
    <sheetView tabSelected="1" topLeftCell="C1" zoomScale="85" zoomScaleNormal="85" workbookViewId="0">
      <selection activeCell="D2" sqref="D2"/>
    </sheetView>
  </sheetViews>
  <sheetFormatPr defaultColWidth="9.06640625" defaultRowHeight="14.25" x14ac:dyDescent="0.45"/>
  <cols>
    <col min="1" max="1" width="13.19921875" style="4" hidden="1" customWidth="1"/>
    <col min="2" max="2" width="16.265625" style="5" hidden="1" customWidth="1"/>
    <col min="3" max="3" width="25.265625" style="14" customWidth="1"/>
    <col min="4" max="4" width="12.06640625" style="25" customWidth="1"/>
    <col min="5" max="5" width="29.6640625" style="23" customWidth="1"/>
    <col min="6" max="6" width="15.19921875" style="3" customWidth="1"/>
    <col min="7" max="7" width="2.19921875" style="12" customWidth="1"/>
    <col min="8" max="8" width="55.19921875" style="84" customWidth="1"/>
    <col min="9" max="9" width="75.265625" style="44" customWidth="1"/>
    <col min="10" max="16384" width="9.06640625" style="3"/>
  </cols>
  <sheetData>
    <row r="1" spans="1:9" ht="23.25" x14ac:dyDescent="0.45">
      <c r="A1" s="4" t="s">
        <v>7</v>
      </c>
      <c r="B1" s="5" t="s">
        <v>7</v>
      </c>
      <c r="C1" s="132" t="str">
        <f>UPPER(NTS_title)</f>
        <v>NON-TECHNICAL PROJECT SUMMARY</v>
      </c>
      <c r="D1" s="132"/>
      <c r="E1" s="132"/>
      <c r="F1" s="132"/>
      <c r="G1" s="46" t="s">
        <v>6</v>
      </c>
      <c r="H1" s="41"/>
    </row>
    <row r="2" spans="1:9" ht="16.05" customHeight="1" x14ac:dyDescent="0.45">
      <c r="A2" s="6" t="s">
        <v>152</v>
      </c>
      <c r="B2" s="8" t="str">
        <f>IF(TRIM(D2)="","",UPPER(D2))</f>
        <v/>
      </c>
      <c r="C2" s="14" t="str">
        <f>country_label</f>
        <v>Country</v>
      </c>
      <c r="D2" s="28"/>
      <c r="E2" s="135"/>
      <c r="F2" s="136"/>
      <c r="G2" s="118" t="s">
        <v>550</v>
      </c>
      <c r="H2" s="41"/>
      <c r="I2" s="44" t="str">
        <f>compulsory_field_tinstr&amp;" "</f>
        <v xml:space="preserve">Compulsory! </v>
      </c>
    </row>
    <row r="3" spans="1:9" ht="16.05" customHeight="1" x14ac:dyDescent="0.45">
      <c r="A3" s="6" t="s">
        <v>153</v>
      </c>
      <c r="B3" s="8" t="str">
        <f>IF(TRIM(D3)="","",LOWER(D3))</f>
        <v/>
      </c>
      <c r="C3" s="14" t="str">
        <f>language_label</f>
        <v>Language</v>
      </c>
      <c r="D3" s="29"/>
      <c r="E3" s="135"/>
      <c r="F3" s="136"/>
      <c r="G3" s="118" t="s">
        <v>550</v>
      </c>
      <c r="H3" s="41"/>
      <c r="I3" s="44" t="str">
        <f>compulsory_field_tinstr&amp;" "</f>
        <v xml:space="preserve">Compulsory! </v>
      </c>
    </row>
    <row r="4" spans="1:9" s="113" customFormat="1" ht="15" customHeight="1" x14ac:dyDescent="0.45">
      <c r="A4" s="6" t="s">
        <v>509</v>
      </c>
      <c r="B4" s="5" t="str">
        <f>IF(TRIM(D4)="","",VALUE(MID(D4,SEARCH("[", D4)+1,SEARCH("]",D4)-SEARCH("[",D4)-1)))</f>
        <v/>
      </c>
      <c r="C4" s="112" t="str">
        <f>euSubmission_label</f>
        <v>EU submission</v>
      </c>
      <c r="D4" s="111"/>
      <c r="E4" s="137"/>
      <c r="F4" s="138"/>
      <c r="G4" s="118" t="s">
        <v>550</v>
      </c>
      <c r="H4" s="41"/>
      <c r="I4" s="44" t="str">
        <f>compulsory_field_tinstr&amp;" "&amp;" "&amp;not_published_instr&amp;" "&amp;euSubmission_instr</f>
        <v>Compulsory!  Field will not be published. Indicate if project is falling inside the scope of the Directive or not.</v>
      </c>
    </row>
    <row r="5" spans="1:9" x14ac:dyDescent="0.45">
      <c r="A5" s="6" t="s">
        <v>154</v>
      </c>
      <c r="B5" s="8" t="str">
        <f>IF(TRIM(D5)="","",D5)</f>
        <v/>
      </c>
      <c r="C5" s="14" t="str">
        <f>projectTitle_label</f>
        <v>Title of the project</v>
      </c>
      <c r="D5" s="129"/>
      <c r="E5" s="129"/>
      <c r="F5" s="129"/>
      <c r="G5" s="118" t="s">
        <v>550</v>
      </c>
      <c r="I5" s="44" t="str">
        <f>compulsory_field_tinstr&amp;" "&amp;maxLength_500_tinstr</f>
        <v>Compulsory! Maximum length is 500 characters.</v>
      </c>
    </row>
    <row r="6" spans="1:9" s="113" customFormat="1" x14ac:dyDescent="0.45">
      <c r="A6" s="6" t="s">
        <v>538</v>
      </c>
      <c r="B6" s="8" t="str">
        <f>IF(TRIM(D6)="","",D6)</f>
        <v/>
      </c>
      <c r="C6" s="112" t="str">
        <f>ntsId_label</f>
        <v>NTS identifier</v>
      </c>
      <c r="D6" s="139"/>
      <c r="E6" s="140"/>
      <c r="F6" s="109"/>
      <c r="G6" s="110"/>
      <c r="H6" s="51"/>
      <c r="I6" s="44" t="str">
        <f>ntsId_instr&amp;" "&amp;ntsId_tinstr</f>
        <v>Unique NTS identifier assigned by the central EC system. To be filled-in only when updating NTS already stored in the EC system.</v>
      </c>
    </row>
    <row r="7" spans="1:9" ht="31.9" customHeight="1" x14ac:dyDescent="0.45">
      <c r="A7" s="6" t="s">
        <v>511</v>
      </c>
      <c r="B7" s="26" t="str">
        <f>IF(TRIM(D7)="","",D7)</f>
        <v/>
      </c>
      <c r="C7" s="14" t="str">
        <f>ntsNationalId_label</f>
        <v>NTS national identifier</v>
      </c>
      <c r="D7" s="122"/>
      <c r="E7" s="122"/>
      <c r="F7" s="122"/>
      <c r="H7" s="51"/>
      <c r="I7" s="44" t="str">
        <f>not_published_instr&amp;" "&amp;ntsNationalId_instr&amp;" "&amp;maxLength_500_tinstr</f>
        <v>Field will not be published. National identifier of the NTS. Maximum length is 500 characters.</v>
      </c>
    </row>
    <row r="8" spans="1:9" ht="15" customHeight="1" x14ac:dyDescent="0.45">
      <c r="A8" s="6" t="s">
        <v>155</v>
      </c>
      <c r="B8" s="5" t="str">
        <f>IF(TRIM(D8)="","",D8)</f>
        <v/>
      </c>
      <c r="C8" s="14" t="str">
        <f>projectDuration_label</f>
        <v>Duration of the project</v>
      </c>
      <c r="D8" s="29"/>
      <c r="E8" s="133" t="str">
        <f>duration_unit_label</f>
        <v>(in months)</v>
      </c>
      <c r="F8" s="134"/>
      <c r="G8" s="118" t="s">
        <v>550</v>
      </c>
      <c r="H8" s="51"/>
      <c r="I8" s="44" t="str">
        <f>compulsory_field_tinstr&amp;" "&amp;projectDuration_instr&amp;" "&amp;projectDuration_tinstr</f>
        <v>Compulsory! Project duration expressed in months. Must be a whole number between 1 and 60!</v>
      </c>
    </row>
    <row r="9" spans="1:9" x14ac:dyDescent="0.45">
      <c r="A9" s="6" t="s">
        <v>514</v>
      </c>
      <c r="B9" s="5" t="s">
        <v>156</v>
      </c>
      <c r="C9" s="147" t="str">
        <f>keywords_label</f>
        <v>Keywords</v>
      </c>
      <c r="D9" s="147"/>
      <c r="E9" s="147"/>
      <c r="F9" s="151"/>
      <c r="G9" s="118" t="s">
        <v>550</v>
      </c>
      <c r="I9" s="44" t="str">
        <f>compulsory_field_tinstr&amp;" "&amp;at_least_one_keyword_mssg</f>
        <v>Compulsory! At least one keyword must be entered!</v>
      </c>
    </row>
    <row r="10" spans="1:9" x14ac:dyDescent="0.45">
      <c r="A10" s="6"/>
      <c r="B10" s="8" t="str">
        <f t="shared" ref="B10:B14" si="0">IF(TRIM(D10)="","",D10)</f>
        <v/>
      </c>
      <c r="C10" s="31" t="str">
        <f>keyword_label &amp; " " &amp; 1</f>
        <v>Keyword 1</v>
      </c>
      <c r="D10" s="129"/>
      <c r="E10" s="129"/>
      <c r="F10" s="129"/>
      <c r="I10" s="44" t="str">
        <f>maxLength_50_tinstr&amp;" "&amp;keyword_tinstr</f>
        <v>Maximum length is 50 characters including spaces. May consist of more than one word.</v>
      </c>
    </row>
    <row r="11" spans="1:9" x14ac:dyDescent="0.45">
      <c r="A11" s="6"/>
      <c r="B11" s="8" t="str">
        <f t="shared" si="0"/>
        <v/>
      </c>
      <c r="C11" s="31" t="str">
        <f>keyword_label &amp; " " &amp; 2</f>
        <v>Keyword 2</v>
      </c>
      <c r="D11" s="122"/>
      <c r="E11" s="122"/>
      <c r="F11" s="122"/>
      <c r="I11" s="44" t="str">
        <f>maxLength_50_tinstr&amp;" "&amp;keyword_tinstr</f>
        <v>Maximum length is 50 characters including spaces. May consist of more than one word.</v>
      </c>
    </row>
    <row r="12" spans="1:9" x14ac:dyDescent="0.45">
      <c r="A12" s="6"/>
      <c r="B12" s="8" t="str">
        <f t="shared" si="0"/>
        <v/>
      </c>
      <c r="C12" s="31" t="str">
        <f>keyword_label &amp; " " &amp; 3</f>
        <v>Keyword 3</v>
      </c>
      <c r="D12" s="122"/>
      <c r="E12" s="122"/>
      <c r="F12" s="122"/>
      <c r="I12" s="44" t="str">
        <f>maxLength_50_tinstr&amp;" "&amp;keyword_tinstr</f>
        <v>Maximum length is 50 characters including spaces. May consist of more than one word.</v>
      </c>
    </row>
    <row r="13" spans="1:9" x14ac:dyDescent="0.45">
      <c r="A13" s="6"/>
      <c r="B13" s="8" t="str">
        <f t="shared" si="0"/>
        <v/>
      </c>
      <c r="C13" s="31" t="str">
        <f>keyword_label &amp; " " &amp; 4</f>
        <v>Keyword 4</v>
      </c>
      <c r="D13" s="142"/>
      <c r="E13" s="142"/>
      <c r="F13" s="142"/>
      <c r="I13" s="44" t="str">
        <f>maxLength_50_tinstr&amp;" "&amp;keyword_tinstr</f>
        <v>Maximum length is 50 characters including spaces. May consist of more than one word.</v>
      </c>
    </row>
    <row r="14" spans="1:9" x14ac:dyDescent="0.45">
      <c r="A14" s="6"/>
      <c r="B14" s="8" t="str">
        <f t="shared" si="0"/>
        <v/>
      </c>
      <c r="C14" s="31" t="str">
        <f>keyword_label &amp; " " &amp; 5</f>
        <v>Keyword 5</v>
      </c>
      <c r="D14" s="122"/>
      <c r="E14" s="122"/>
      <c r="F14" s="122"/>
      <c r="G14" s="35"/>
      <c r="I14" s="44" t="str">
        <f>maxLength_50_tinstr&amp;" "&amp;keyword_tinstr</f>
        <v>Maximum length is 50 characters including spaces. May consist of more than one word.</v>
      </c>
    </row>
    <row r="15" spans="1:9" x14ac:dyDescent="0.45">
      <c r="A15" s="6" t="s">
        <v>515</v>
      </c>
      <c r="C15" s="148" t="str" cm="1">
        <f t="array" ref="C15">projectPurposes_label</f>
        <v>Purpose(s) of the project</v>
      </c>
      <c r="D15" s="148"/>
      <c r="E15" s="148"/>
      <c r="F15" s="148"/>
      <c r="G15" s="118" t="s">
        <v>550</v>
      </c>
      <c r="I15" s="44" t="str">
        <f>compulsory_field_tinstr&amp;" "&amp;projectPurposes_tinstr&amp;" "&amp;at_least_one_purpose_mssg</f>
        <v>Compulsory! Please fill-in 'Purpose of the project' sheet. At least one purpose must be chosen!</v>
      </c>
    </row>
    <row r="16" spans="1:9" x14ac:dyDescent="0.45">
      <c r="A16" s="6"/>
      <c r="C16" s="147" t="str">
        <f>objectives_and_benefits_label</f>
        <v>Objectives and predicted benefits of the project</v>
      </c>
      <c r="D16" s="147"/>
      <c r="E16" s="147"/>
      <c r="F16" s="147"/>
      <c r="G16" s="147"/>
    </row>
    <row r="17" spans="1:9" x14ac:dyDescent="0.45">
      <c r="A17" s="6"/>
      <c r="C17" s="153" t="str">
        <f>projectObjectives_label</f>
        <v>Objectives of the project</v>
      </c>
      <c r="D17" s="153"/>
      <c r="E17" s="153"/>
      <c r="F17" s="153"/>
      <c r="G17" s="118" t="s">
        <v>550</v>
      </c>
    </row>
    <row r="18" spans="1:9" ht="127.5" customHeight="1" x14ac:dyDescent="0.45">
      <c r="A18" s="6" t="s">
        <v>157</v>
      </c>
      <c r="B18" s="26" t="str">
        <f>IF(TRIM(C18)="","",C18)</f>
        <v/>
      </c>
      <c r="C18" s="130"/>
      <c r="D18" s="122"/>
      <c r="E18" s="122"/>
      <c r="F18" s="122"/>
      <c r="H18" s="51" t="str">
        <f>projectObjectives_instr</f>
        <v>Describe the objectives of the project (for example, addressing certain scientific unknowns, or scientific or clinical needs).</v>
      </c>
      <c r="I18" s="44" t="str">
        <f>compulsory_field_tinstr&amp;" "&amp;maxLength_2500_tinstr</f>
        <v>Compulsory! Maximum length is 2500 characters.</v>
      </c>
    </row>
    <row r="19" spans="1:9" x14ac:dyDescent="0.45">
      <c r="A19" s="6"/>
      <c r="B19" s="8"/>
      <c r="C19" s="153" t="str">
        <f>potentialBenefits_label</f>
        <v>Potential benefits likely to derive from this project</v>
      </c>
      <c r="D19" s="153"/>
      <c r="E19" s="153"/>
      <c r="F19" s="153"/>
      <c r="G19" s="118" t="s">
        <v>550</v>
      </c>
    </row>
    <row r="20" spans="1:9" ht="127.5" customHeight="1" x14ac:dyDescent="0.45">
      <c r="A20" s="6" t="s">
        <v>158</v>
      </c>
      <c r="B20" s="26" t="str">
        <f>IF(TRIM(C20)="","",C20)</f>
        <v/>
      </c>
      <c r="C20" s="130"/>
      <c r="D20" s="122"/>
      <c r="E20" s="122"/>
      <c r="F20" s="122"/>
      <c r="H20" s="51" t="str">
        <f>potentialBenefits_instr</f>
        <v>What are the potential benefits likely to derive from this project? Explain how science could be advanced, or humans, animals or environment may ultimately benefit from the project. Where applicable, differentiate between short-term benefits (within the duration of the project) and long-term benefits (which may accrue after the project is finished).</v>
      </c>
      <c r="I20" s="44" t="str">
        <f>compulsory_field_tinstr&amp;" "&amp;maxLength_2500_tinstr</f>
        <v>Compulsory! Maximum length is 2500 characters.</v>
      </c>
    </row>
    <row r="21" spans="1:9" x14ac:dyDescent="0.45">
      <c r="A21" s="6"/>
      <c r="B21" s="8"/>
      <c r="C21" s="120" t="str" cm="1">
        <f t="array" ref="C21">predicted_harms_label</f>
        <v>Predicted harms</v>
      </c>
      <c r="D21" s="120"/>
      <c r="E21" s="120"/>
      <c r="F21" s="120"/>
      <c r="G21" s="120"/>
    </row>
    <row r="22" spans="1:9" x14ac:dyDescent="0.45">
      <c r="A22" s="6"/>
      <c r="B22" s="8"/>
      <c r="C22" s="128" t="str">
        <f>procedures_label</f>
        <v>In what procedures will the animals typically be used</v>
      </c>
      <c r="D22" s="128"/>
      <c r="E22" s="128"/>
      <c r="F22" s="128"/>
      <c r="G22" s="118" t="s">
        <v>550</v>
      </c>
    </row>
    <row r="23" spans="1:9" ht="127.5" customHeight="1" x14ac:dyDescent="0.45">
      <c r="A23" s="6" t="s">
        <v>159</v>
      </c>
      <c r="B23" s="26" t="str">
        <f>IF(TRIM(C23)="","",C23)</f>
        <v/>
      </c>
      <c r="C23" s="130"/>
      <c r="D23" s="122"/>
      <c r="E23" s="122"/>
      <c r="F23" s="122"/>
      <c r="H23" s="51" t="str">
        <f>procedures_instr</f>
        <v>In what procedures will the animals typically be used (for example, injections, surgical procedures)? Indicate the number and duration of these procedures.</v>
      </c>
      <c r="I23" s="44" t="str">
        <f>compulsory_field_tinstr&amp;" "&amp;maxLength_2500_tinstr</f>
        <v>Compulsory! Maximum length is 2500 characters.</v>
      </c>
    </row>
    <row r="24" spans="1:9" x14ac:dyDescent="0.45">
      <c r="A24" s="6"/>
      <c r="B24" s="8"/>
      <c r="C24" s="123" t="str" cm="1">
        <f t="array" ref="C24">expectedImpacts_label</f>
        <v>Expected impacts/adverse effects on the animals</v>
      </c>
      <c r="D24" s="123"/>
      <c r="E24" s="123"/>
      <c r="F24" s="123"/>
      <c r="G24" s="118" t="s">
        <v>550</v>
      </c>
    </row>
    <row r="25" spans="1:9" ht="127.5" customHeight="1" x14ac:dyDescent="0.45">
      <c r="A25" s="6" t="s">
        <v>160</v>
      </c>
      <c r="B25" s="26" t="str">
        <f>IF(TRIM(C25)="","",C25)</f>
        <v/>
      </c>
      <c r="C25" s="130"/>
      <c r="D25" s="122"/>
      <c r="E25" s="122"/>
      <c r="F25" s="122"/>
      <c r="H25" s="51" t="str">
        <f>expectedImpacts_instr</f>
        <v>What are the expected impacts/adverse effects on the animals, for example pain, weight loss, inactivity/reduced mobility, stress, abnormal behaviour, and the duration of those effects?</v>
      </c>
      <c r="I25" s="44" t="str">
        <f>compulsory_field_tinstr&amp;" "&amp;maxLength_2500_tinstr</f>
        <v>Compulsory! Maximum length is 2500 characters.</v>
      </c>
    </row>
    <row r="26" spans="1:9" ht="48" customHeight="1" x14ac:dyDescent="0.45">
      <c r="A26" s="6" t="s">
        <v>516</v>
      </c>
      <c r="C26" s="149" t="str">
        <f>expectedHarms_label</f>
        <v>Expected harms</v>
      </c>
      <c r="D26" s="149"/>
      <c r="E26" s="149"/>
      <c r="F26" s="150"/>
      <c r="G26" s="118" t="s">
        <v>550</v>
      </c>
      <c r="H26" s="51" t="str">
        <f>expectedHarms_instr</f>
        <v>What species and numbers of animals are expected to be used? What are the expected severities and the numbers of animals in each severity category (per species)?</v>
      </c>
      <c r="I26" s="44" t="str">
        <f>compulsory_field_tinstr&amp;" "&amp;expectedHarms_tinstr</f>
        <v>Compulsory! Please fill-in 'Expected harms' sheet. At least one row must be filled-in!</v>
      </c>
    </row>
    <row r="27" spans="1:9" ht="28.5" x14ac:dyDescent="0.45">
      <c r="A27" s="6" t="s">
        <v>517</v>
      </c>
      <c r="C27" s="146" t="str">
        <f>fateList_label</f>
        <v>Fate of animals kept alive</v>
      </c>
      <c r="D27" s="146"/>
      <c r="E27" s="146"/>
      <c r="F27" s="146"/>
      <c r="G27" s="35"/>
      <c r="H27" s="51" t="str">
        <f>fateList_instr</f>
        <v>What will happen to the animals kept alive at the end of the procedure?</v>
      </c>
      <c r="I27" s="44" t="str">
        <f>fateList_tinstr</f>
        <v xml:space="preserve">Please fill-in 'Fate of animals kept alive' sheet if applicable. </v>
      </c>
    </row>
    <row r="28" spans="1:9" x14ac:dyDescent="0.45">
      <c r="C28" s="131" t="str">
        <f>fateReasons_label</f>
        <v>Reasons for the planned fate of the animals after the procedure</v>
      </c>
      <c r="D28" s="131"/>
      <c r="E28" s="131"/>
      <c r="F28" s="131"/>
      <c r="G28" s="118" t="s">
        <v>550</v>
      </c>
    </row>
    <row r="29" spans="1:9" ht="127.5" customHeight="1" x14ac:dyDescent="0.45">
      <c r="A29" s="6" t="s">
        <v>161</v>
      </c>
      <c r="B29" s="26" t="str">
        <f>IF(TRIM(C29)="","",C29)</f>
        <v/>
      </c>
      <c r="C29" s="130"/>
      <c r="D29" s="122"/>
      <c r="E29" s="122"/>
      <c r="F29" s="122"/>
      <c r="H29" s="51" t="str">
        <f>fateReasons_instr</f>
        <v>Please provide reasons for the planned fate of the animals after the procedure.</v>
      </c>
      <c r="I29" s="44" t="str">
        <f>compulsory_field_tinstr&amp;" "&amp;maxLength_2500_tinstr</f>
        <v>Compulsory! Maximum length is 2500 characters.</v>
      </c>
    </row>
    <row r="30" spans="1:9" x14ac:dyDescent="0.45">
      <c r="A30" s="6"/>
      <c r="B30" s="8"/>
      <c r="C30" s="120" t="str">
        <f>application_of_the_three_rs_label</f>
        <v>Application of the Three Rs</v>
      </c>
      <c r="D30" s="120"/>
      <c r="E30" s="120"/>
      <c r="F30" s="120"/>
      <c r="G30" s="120"/>
    </row>
    <row r="31" spans="1:9" x14ac:dyDescent="0.45">
      <c r="A31" s="6"/>
      <c r="B31" s="8"/>
      <c r="C31" s="120" t="str">
        <f>replacement_label</f>
        <v>1. Replacement</v>
      </c>
      <c r="D31" s="120"/>
      <c r="E31" s="120"/>
      <c r="F31" s="120"/>
      <c r="G31" s="118" t="s">
        <v>550</v>
      </c>
    </row>
    <row r="32" spans="1:9" ht="127.5" customHeight="1" x14ac:dyDescent="0.45">
      <c r="A32" s="6" t="s">
        <v>162</v>
      </c>
      <c r="B32" s="26" t="str">
        <f>IF(TRIM(C32)="","",C32)</f>
        <v/>
      </c>
      <c r="C32" s="130"/>
      <c r="D32" s="122"/>
      <c r="E32" s="122"/>
      <c r="F32" s="122"/>
      <c r="H32" s="51" t="str">
        <f>replacement_instr</f>
        <v>State which non-animal alternatives are available in this field and why they cannot be used for the purposes of the project.</v>
      </c>
      <c r="I32" s="44" t="str">
        <f>compulsory_field_tinstr&amp;" "&amp;maxLength_2500_tinstr</f>
        <v>Compulsory! Maximum length is 2500 characters.</v>
      </c>
    </row>
    <row r="33" spans="1:9" x14ac:dyDescent="0.45">
      <c r="A33" s="6"/>
      <c r="B33" s="8"/>
      <c r="C33" s="124" t="str">
        <f>reduction_label</f>
        <v>2. Reduction</v>
      </c>
      <c r="D33" s="124"/>
      <c r="E33" s="124"/>
      <c r="F33" s="124"/>
      <c r="G33" s="118" t="s">
        <v>550</v>
      </c>
    </row>
    <row r="34" spans="1:9" ht="135.5" customHeight="1" x14ac:dyDescent="0.45">
      <c r="A34" s="6" t="s">
        <v>163</v>
      </c>
      <c r="B34" s="26" t="str">
        <f>IF(TRIM(C34)="","",C34)</f>
        <v/>
      </c>
      <c r="C34" s="130"/>
      <c r="D34" s="122"/>
      <c r="E34" s="122"/>
      <c r="F34" s="122"/>
      <c r="H34" s="51" t="str">
        <f>reduction_instr</f>
        <v>Explain how the numbers of animals for this project were determined. Describe steps that have been taken to reduce the number of animals to be used, and principles used to design studies. Where applicable, describe practices that will be used throughout the project to minimise the number of animals used consistent with scientific objectives. Those practices may include e.g. pilot studies, computer modelling, sharing of tissue and reuse.</v>
      </c>
      <c r="I34" s="44" t="str">
        <f>compulsory_field_tinstr&amp;" "&amp;maxLength_2500_tinstr</f>
        <v>Compulsory! Maximum length is 2500 characters.</v>
      </c>
    </row>
    <row r="35" spans="1:9" x14ac:dyDescent="0.45">
      <c r="A35" s="6"/>
      <c r="B35" s="8"/>
      <c r="C35" s="124" t="str">
        <f>refinement_label</f>
        <v>3. Refinement</v>
      </c>
      <c r="D35" s="124"/>
      <c r="E35" s="124"/>
      <c r="F35" s="124"/>
      <c r="G35" s="118" t="s">
        <v>550</v>
      </c>
    </row>
    <row r="36" spans="1:9" ht="127.5" customHeight="1" x14ac:dyDescent="0.45">
      <c r="A36" s="6" t="s">
        <v>164</v>
      </c>
      <c r="B36" s="26" t="str">
        <f>IF(TRIM(C36)="","",C36)</f>
        <v/>
      </c>
      <c r="C36" s="130"/>
      <c r="D36" s="122"/>
      <c r="E36" s="122"/>
      <c r="F36" s="122"/>
      <c r="H36" s="51" t="str">
        <f>refinement_instr</f>
        <v>Give examples of the specific measures (e.g., increased monitoring, post-operative care, pain management, training of animals) to be taken, in relation to the procedures, to minimise welfare costs (harms) to the animals. Describe the mechanisms to take up emerging refinement techniques during the lifetime of the project.</v>
      </c>
      <c r="I36" s="44" t="str">
        <f>compulsory_field_tinstr&amp;" "&amp;maxLength_2500_tinstr</f>
        <v>Compulsory! Maximum length is 2500 characters.</v>
      </c>
    </row>
    <row r="37" spans="1:9" x14ac:dyDescent="0.45">
      <c r="A37" s="6"/>
      <c r="B37" s="8"/>
      <c r="C37" s="123" t="str">
        <f>speciesChoiceExplanation_label</f>
        <v>Explain the choice of species and the related life stages</v>
      </c>
      <c r="D37" s="123"/>
      <c r="E37" s="123"/>
      <c r="F37" s="123"/>
      <c r="G37" s="118" t="s">
        <v>550</v>
      </c>
    </row>
    <row r="38" spans="1:9" ht="127.5" customHeight="1" x14ac:dyDescent="0.45">
      <c r="A38" s="6" t="s">
        <v>165</v>
      </c>
      <c r="B38" s="26" t="str">
        <f>IF(TRIM(C38)="","",C38)</f>
        <v/>
      </c>
      <c r="C38" s="130"/>
      <c r="D38" s="122"/>
      <c r="E38" s="122"/>
      <c r="F38" s="122"/>
      <c r="H38" s="51"/>
      <c r="I38" s="44" t="str">
        <f>compulsory_field_tinstr&amp;" "&amp;maxLength_2500_tinstr</f>
        <v>Compulsory! Maximum length is 2500 characters.</v>
      </c>
    </row>
    <row r="39" spans="1:9" ht="28.5" x14ac:dyDescent="0.45">
      <c r="A39" s="6"/>
      <c r="B39" s="8"/>
      <c r="C39" s="152" t="str">
        <f>project_selected_for_ra_label</f>
        <v>Project selected for Retrospective Assessment</v>
      </c>
      <c r="D39" s="152"/>
      <c r="E39" s="152"/>
      <c r="F39" s="152"/>
      <c r="G39" s="33"/>
      <c r="H39" s="51" t="str">
        <f>compulsory_field_for_some_tinstr</f>
        <v>Applicable to those MS where this information is required by the legislation.</v>
      </c>
      <c r="I39" s="44" t="str">
        <f>to_be_filled_in_by_authority_mssg</f>
        <v>To be filled-in by competent authority!</v>
      </c>
    </row>
    <row r="40" spans="1:9" x14ac:dyDescent="0.45">
      <c r="A40" s="6" t="s">
        <v>166</v>
      </c>
      <c r="B40" s="5" t="str">
        <f>IF(TRIM(D40)="","",VALUE(MID(D40,SEARCH("[", D40)+1,SEARCH("]",D40)-SEARCH("[",D40)-1)))</f>
        <v/>
      </c>
      <c r="C40" s="27" t="str">
        <f>raSelected_label</f>
        <v>Project selected for RA?</v>
      </c>
      <c r="D40" s="30"/>
      <c r="E40" s="143" t="str">
        <f>IF((CONCATENATE(B41,B43,B44,B45,B47)&lt;&gt;"")*AND(B40&lt;&gt;1),inconsistent_value_mssg,"")</f>
        <v/>
      </c>
      <c r="F40" s="144"/>
      <c r="G40" s="118" t="str">
        <f t="shared" ref="G40" si="1">selection_for_RA</f>
        <v/>
      </c>
      <c r="H40" s="51"/>
      <c r="I40" s="44" t="str">
        <f>IF(G40="*", compulsory_field_tinstr, "")</f>
        <v/>
      </c>
    </row>
    <row r="41" spans="1:9" x14ac:dyDescent="0.45">
      <c r="A41" s="6" t="s">
        <v>167</v>
      </c>
      <c r="B41" s="37" t="str">
        <f>IF(TRIM(D41)="","",D41)</f>
        <v/>
      </c>
      <c r="C41" s="27" t="str">
        <f>raDeadline_label</f>
        <v>Deadline for RA</v>
      </c>
      <c r="D41" s="72"/>
      <c r="E41" s="121" t="s">
        <v>63</v>
      </c>
      <c r="F41" s="121"/>
      <c r="G41" s="119" t="str">
        <f>IF($B$40=1,"*","")</f>
        <v/>
      </c>
      <c r="H41" s="51"/>
      <c r="I41" s="44" t="str">
        <f>IF($B$40=1,compulsory_field_tinstr&amp;" "&amp;date_format_tinstr,"")</f>
        <v/>
      </c>
    </row>
    <row r="42" spans="1:9" x14ac:dyDescent="0.45">
      <c r="A42" s="6"/>
      <c r="B42" s="37"/>
      <c r="C42" s="125" t="str">
        <f>ra_reasons_label</f>
        <v>Reasons for retrospective assessment</v>
      </c>
      <c r="D42" s="125"/>
      <c r="E42" s="145"/>
      <c r="F42" s="145"/>
      <c r="G42" s="119" t="str">
        <f>IF($B$40=1,"*","")</f>
        <v/>
      </c>
      <c r="H42" s="51"/>
      <c r="I42" s="44" t="str">
        <f>IF($B$40=1,compulsory_field_tinstr&amp;" "&amp; at_least_one_reason_mssg,"")</f>
        <v/>
      </c>
    </row>
    <row r="43" spans="1:9" x14ac:dyDescent="0.45">
      <c r="A43" s="6" t="s">
        <v>168</v>
      </c>
      <c r="B43" s="7" t="str">
        <f t="shared" ref="B43:B45" si="2">IF(TRIM(F43)="","",VALUE(MID(F43,SEARCH("[", F43)+1,SEARCH("]",F43)-SEARCH("[",F43)-1)))</f>
        <v/>
      </c>
      <c r="C43" s="36"/>
      <c r="D43" s="126" t="str">
        <f>severeProcedure_label</f>
        <v>Contains severe procedures</v>
      </c>
      <c r="E43" s="126"/>
      <c r="F43" s="30"/>
      <c r="G43" s="33"/>
    </row>
    <row r="44" spans="1:9" ht="14.25" customHeight="1" x14ac:dyDescent="0.45">
      <c r="A44" s="6" t="s">
        <v>169</v>
      </c>
      <c r="B44" s="7" t="str">
        <f t="shared" si="2"/>
        <v/>
      </c>
      <c r="C44" s="32"/>
      <c r="D44" s="127" t="str">
        <f>nhpUse_label</f>
        <v>Uses non-human primates</v>
      </c>
      <c r="E44" s="127"/>
      <c r="F44" s="30" t="s">
        <v>6</v>
      </c>
      <c r="G44" s="33"/>
    </row>
    <row r="45" spans="1:9" x14ac:dyDescent="0.45">
      <c r="A45" s="6" t="s">
        <v>170</v>
      </c>
      <c r="B45" s="7" t="str">
        <f t="shared" si="2"/>
        <v/>
      </c>
      <c r="C45" s="39" t="str">
        <f>IF((B47&lt;&gt;"")*AND(B45&lt;&gt;1),inconsistent_value_mssg,"")</f>
        <v/>
      </c>
      <c r="D45" s="127" t="str">
        <f>other_label</f>
        <v>Other reason</v>
      </c>
      <c r="E45" s="127"/>
      <c r="F45" s="30"/>
      <c r="G45" s="33"/>
    </row>
    <row r="46" spans="1:9" s="34" customFormat="1" x14ac:dyDescent="0.45">
      <c r="A46" s="6"/>
      <c r="B46" s="7"/>
      <c r="C46" s="128" t="str">
        <f>otherExplanation_label</f>
        <v>Explanation of the other reason for retrospective assessment</v>
      </c>
      <c r="D46" s="128"/>
      <c r="E46" s="128"/>
      <c r="F46" s="128"/>
      <c r="G46" s="33"/>
      <c r="H46" s="51"/>
      <c r="I46" s="44"/>
    </row>
    <row r="47" spans="1:9" ht="57.4" customHeight="1" x14ac:dyDescent="0.45">
      <c r="A47" s="6" t="s">
        <v>171</v>
      </c>
      <c r="B47" s="26" t="str">
        <f>IF(TRIM(C47)="","",C47)</f>
        <v/>
      </c>
      <c r="C47" s="129"/>
      <c r="D47" s="129"/>
      <c r="E47" s="129"/>
      <c r="F47" s="129"/>
      <c r="G47" s="119" t="str">
        <f>IF($B$45=1,"*","")</f>
        <v/>
      </c>
      <c r="I47" s="51" t="str">
        <f>IF(B45=1, compulsory_field_tinstr&amp;" "&amp;maxLength_500_tinstr, "")</f>
        <v/>
      </c>
    </row>
    <row r="48" spans="1:9" x14ac:dyDescent="0.45">
      <c r="C48" s="124" t="str">
        <f>additional_fields_title</f>
        <v>Additional fields</v>
      </c>
      <c r="D48" s="124"/>
      <c r="E48" s="124"/>
      <c r="F48" s="124"/>
      <c r="I48" s="44" t="str">
        <f>additional_fields_tinstr</f>
        <v>Whether the particular field is applicable or not, depends on national rules.</v>
      </c>
    </row>
    <row r="49" spans="1:9" s="74" customFormat="1" ht="31.9" customHeight="1" x14ac:dyDescent="0.45">
      <c r="A49" s="6" t="s">
        <v>518</v>
      </c>
      <c r="B49" s="26" t="str">
        <f>IF(TRIM(D49)="","",D49)</f>
        <v/>
      </c>
      <c r="C49" s="75" t="str">
        <f>field1_label</f>
        <v>National field 1</v>
      </c>
      <c r="D49" s="122"/>
      <c r="E49" s="122"/>
      <c r="F49" s="122"/>
      <c r="G49" s="12"/>
      <c r="H49" s="51"/>
      <c r="I49" s="44" t="str">
        <f>not_published_instr&amp;" "&amp;maxLength_2500_tinstr</f>
        <v>Field will not be published. Maximum length is 2500 characters.</v>
      </c>
    </row>
    <row r="50" spans="1:9" s="74" customFormat="1" ht="31.5" customHeight="1" x14ac:dyDescent="0.45">
      <c r="A50" s="6" t="s">
        <v>519</v>
      </c>
      <c r="B50" s="26" t="str">
        <f t="shared" ref="B50:B51" si="3">IF(TRIM(D50)="","",D50)</f>
        <v/>
      </c>
      <c r="C50" s="75" t="str">
        <f>field2_label</f>
        <v>National field 2</v>
      </c>
      <c r="D50" s="122"/>
      <c r="E50" s="122"/>
      <c r="F50" s="122"/>
      <c r="G50" s="12"/>
      <c r="H50" s="51"/>
      <c r="I50" s="44" t="str">
        <f>not_published_instr&amp;" "&amp;maxLength_2500_tinstr</f>
        <v>Field will not be published. Maximum length is 2500 characters.</v>
      </c>
    </row>
    <row r="51" spans="1:9" s="74" customFormat="1" ht="30.4" customHeight="1" x14ac:dyDescent="0.45">
      <c r="A51" s="6" t="s">
        <v>520</v>
      </c>
      <c r="B51" s="26" t="str">
        <f t="shared" si="3"/>
        <v/>
      </c>
      <c r="C51" s="75" t="str">
        <f>field3_label</f>
        <v>National field 3</v>
      </c>
      <c r="D51" s="122"/>
      <c r="E51" s="122"/>
      <c r="F51" s="122"/>
      <c r="G51" s="12"/>
      <c r="H51" s="51"/>
      <c r="I51" s="44" t="str">
        <f>not_published_instr&amp;" "&amp;maxLength_2500_tinstr</f>
        <v>Field will not be published. Maximum length is 2500 characters.</v>
      </c>
    </row>
    <row r="52" spans="1:9" s="94" customFormat="1" ht="30.4" customHeight="1" x14ac:dyDescent="0.45">
      <c r="A52" s="6" t="s">
        <v>521</v>
      </c>
      <c r="B52" s="26" t="str">
        <f t="shared" ref="B52:B53" si="4">IF(TRIM(D52)="","",D52)</f>
        <v/>
      </c>
      <c r="C52" s="95" t="str">
        <f>field4_label</f>
        <v>National field 4</v>
      </c>
      <c r="D52" s="122"/>
      <c r="E52" s="122"/>
      <c r="F52" s="122"/>
      <c r="G52" s="12"/>
      <c r="H52" s="51"/>
      <c r="I52" s="44" t="str">
        <f>not_published_instr&amp;" "&amp;maxLength_2500_tinstr</f>
        <v>Field will not be published. Maximum length is 2500 characters.</v>
      </c>
    </row>
    <row r="53" spans="1:9" s="94" customFormat="1" ht="30.4" customHeight="1" x14ac:dyDescent="0.45">
      <c r="A53" s="6" t="s">
        <v>522</v>
      </c>
      <c r="B53" s="26" t="str">
        <f t="shared" si="4"/>
        <v/>
      </c>
      <c r="C53" s="95" t="str">
        <f>field5_label</f>
        <v>National field 5</v>
      </c>
      <c r="D53" s="122"/>
      <c r="E53" s="122"/>
      <c r="F53" s="122"/>
      <c r="G53" s="12"/>
      <c r="H53" s="51"/>
      <c r="I53" s="44" t="str">
        <f>not_published_instr&amp;" "&amp;maxLength_2500_tinstr</f>
        <v>Field will not be published. Maximum length is 2500 characters.</v>
      </c>
    </row>
    <row r="54" spans="1:9" s="74" customFormat="1" x14ac:dyDescent="0.45">
      <c r="A54" s="6" t="s">
        <v>523</v>
      </c>
      <c r="B54" s="37" t="str">
        <f>IF(TRIM(D54)="","",D54)</f>
        <v/>
      </c>
      <c r="C54" s="75" t="str">
        <f>projectStartDate_label</f>
        <v>Project start date</v>
      </c>
      <c r="D54" s="72"/>
      <c r="E54" s="121" t="s">
        <v>63</v>
      </c>
      <c r="F54" s="121"/>
      <c r="G54" s="33" t="str">
        <f>project_start_end_date</f>
        <v/>
      </c>
      <c r="H54" s="51"/>
      <c r="I54" s="44" t="str">
        <f>not_published_instr&amp;" "&amp;date_format_tinstr</f>
        <v>Field will not be published. Format is dd-mm-yyyy or dd/mm/yyyy depending on your system settings (e.g. 27-05-2022 or 27/05/2022)</v>
      </c>
    </row>
    <row r="55" spans="1:9" s="74" customFormat="1" x14ac:dyDescent="0.45">
      <c r="A55" s="6" t="s">
        <v>524</v>
      </c>
      <c r="B55" s="37" t="str">
        <f>IF(TRIM(D55)="","",D55)</f>
        <v/>
      </c>
      <c r="C55" s="75" t="str">
        <f>projectEndDate_label</f>
        <v>Project end date</v>
      </c>
      <c r="D55" s="72"/>
      <c r="E55" s="121" t="s">
        <v>63</v>
      </c>
      <c r="F55" s="121"/>
      <c r="G55" s="33" t="str">
        <f>project_start_end_date</f>
        <v/>
      </c>
      <c r="H55" s="51"/>
      <c r="I55" s="44" t="str">
        <f>not_published_instr&amp;" "&amp;date_format_tinstr</f>
        <v>Field will not be published. Format is dd-mm-yyyy or dd/mm/yyyy depending on your system settings (e.g. 27-05-2022 or 27/05/2022)</v>
      </c>
    </row>
    <row r="56" spans="1:9" s="74" customFormat="1" x14ac:dyDescent="0.45">
      <c r="A56" s="6" t="s">
        <v>525</v>
      </c>
      <c r="B56" s="37" t="str">
        <f>IF(TRIM(D56)="","",D56)</f>
        <v/>
      </c>
      <c r="C56" s="75" t="str">
        <f>projectApprovalDate_label</f>
        <v>Project approval date</v>
      </c>
      <c r="D56" s="72"/>
      <c r="E56" s="121" t="s">
        <v>63</v>
      </c>
      <c r="F56" s="121"/>
      <c r="G56" s="33" t="str">
        <f>project_approval_date</f>
        <v/>
      </c>
      <c r="H56" s="51"/>
      <c r="I56" s="44" t="str">
        <f>not_published_instr&amp;" "&amp;to_be_filled_in_by_authority_mssg&amp;" "&amp;date_format_tinstr</f>
        <v>Field will not be published. To be filled-in by competent authority! Format is dd-mm-yyyy or dd/mm/yyyy depending on your system settings (e.g. 27-05-2022 or 27/05/2022)</v>
      </c>
    </row>
    <row r="57" spans="1:9" s="74" customFormat="1" x14ac:dyDescent="0.45">
      <c r="A57" s="6" t="s">
        <v>526</v>
      </c>
      <c r="B57" s="8" t="str">
        <f>IF(TRIM(D57)="","",D57)</f>
        <v/>
      </c>
      <c r="C57" s="75" t="str">
        <f>ICD_code_label &amp; " 1"</f>
        <v>ICD code 1</v>
      </c>
      <c r="D57" s="117"/>
      <c r="E57" s="121" t="s">
        <v>63</v>
      </c>
      <c r="F57" s="121"/>
      <c r="G57" s="33"/>
      <c r="H57" s="51"/>
      <c r="I57" s="44" t="str">
        <f>not_published_instr&amp;" "&amp;ICD_code_instr&amp;" "&amp;ICD_code_tinstr</f>
        <v>Field will not be published. International Classification of Diseases (ICD) code. Up to a precision of a 4 character code.</v>
      </c>
    </row>
    <row r="58" spans="1:9" x14ac:dyDescent="0.45">
      <c r="A58" s="6" t="s">
        <v>527</v>
      </c>
      <c r="B58" s="8" t="str">
        <f t="shared" ref="B58:B60" si="5">IF(TRIM(D58)="","",D58)</f>
        <v/>
      </c>
      <c r="C58" s="114" t="str">
        <f>ICD_code_label &amp; " 2"</f>
        <v>ICD code 2</v>
      </c>
      <c r="D58" s="117"/>
      <c r="E58" s="121" t="s">
        <v>63</v>
      </c>
      <c r="F58" s="121"/>
      <c r="G58" s="33"/>
      <c r="H58" s="51"/>
      <c r="I58" s="44" t="str">
        <f>not_published_instr&amp;" "&amp;ICD_code_instr&amp;" "&amp;ICD_code_tinstr</f>
        <v>Field will not be published. International Classification of Diseases (ICD) code. Up to a precision of a 4 character code.</v>
      </c>
    </row>
    <row r="59" spans="1:9" x14ac:dyDescent="0.45">
      <c r="A59" s="6" t="s">
        <v>528</v>
      </c>
      <c r="B59" s="8" t="str">
        <f t="shared" si="5"/>
        <v/>
      </c>
      <c r="C59" s="114" t="str">
        <f>ICD_code_label &amp; " 3"</f>
        <v>ICD code 3</v>
      </c>
      <c r="D59" s="117"/>
      <c r="E59" s="121" t="s">
        <v>63</v>
      </c>
      <c r="F59" s="121"/>
      <c r="G59" s="33"/>
      <c r="H59" s="51"/>
      <c r="I59" s="44" t="str">
        <f>not_published_instr&amp;" "&amp;ICD_code_instr&amp;" "&amp;ICD_code_tinstr</f>
        <v>Field will not be published. International Classification of Diseases (ICD) code. Up to a precision of a 4 character code.</v>
      </c>
    </row>
    <row r="60" spans="1:9" ht="28.9" customHeight="1" x14ac:dyDescent="0.45">
      <c r="A60" s="6" t="s">
        <v>532</v>
      </c>
      <c r="B60" s="26" t="str">
        <f t="shared" si="5"/>
        <v/>
      </c>
      <c r="C60" s="116" t="str">
        <f>ntsPreviousVersionExternalLink_label</f>
        <v>Link to the previous NTS version outside the EC system</v>
      </c>
      <c r="D60" s="141"/>
      <c r="E60" s="141"/>
      <c r="F60" s="141"/>
      <c r="H60" s="51"/>
      <c r="I60" s="44" t="str">
        <f>ntsPreviousVersionExternalLink_instr&amp;" "&amp;maxLength_500_tinstr</f>
        <v>To be used in transition period where the previous version of the NTS might not exist in the EC system. Maximum length is 500 characters.</v>
      </c>
    </row>
  </sheetData>
  <sheetProtection sheet="1" selectLockedCells="1"/>
  <mergeCells count="59">
    <mergeCell ref="C15:F15"/>
    <mergeCell ref="C26:F26"/>
    <mergeCell ref="C9:F9"/>
    <mergeCell ref="E57:F57"/>
    <mergeCell ref="E58:F58"/>
    <mergeCell ref="C37:F37"/>
    <mergeCell ref="C34:F34"/>
    <mergeCell ref="C38:F38"/>
    <mergeCell ref="C39:F39"/>
    <mergeCell ref="E55:F55"/>
    <mergeCell ref="E56:F56"/>
    <mergeCell ref="C18:F18"/>
    <mergeCell ref="C17:F17"/>
    <mergeCell ref="C19:F19"/>
    <mergeCell ref="C20:F20"/>
    <mergeCell ref="C22:F22"/>
    <mergeCell ref="E59:F59"/>
    <mergeCell ref="D60:F60"/>
    <mergeCell ref="D10:F10"/>
    <mergeCell ref="D11:F11"/>
    <mergeCell ref="D12:F12"/>
    <mergeCell ref="D13:F13"/>
    <mergeCell ref="D14:F14"/>
    <mergeCell ref="E40:F40"/>
    <mergeCell ref="E41:F41"/>
    <mergeCell ref="D44:E44"/>
    <mergeCell ref="E42:F42"/>
    <mergeCell ref="C25:F25"/>
    <mergeCell ref="C27:F27"/>
    <mergeCell ref="C16:G16"/>
    <mergeCell ref="C35:F35"/>
    <mergeCell ref="C36:F36"/>
    <mergeCell ref="C1:F1"/>
    <mergeCell ref="E8:F8"/>
    <mergeCell ref="D5:F5"/>
    <mergeCell ref="E2:F4"/>
    <mergeCell ref="D6:E6"/>
    <mergeCell ref="D7:F7"/>
    <mergeCell ref="C21:G21"/>
    <mergeCell ref="C23:F23"/>
    <mergeCell ref="C28:F28"/>
    <mergeCell ref="C29:F29"/>
    <mergeCell ref="C30:G30"/>
    <mergeCell ref="C31:F31"/>
    <mergeCell ref="E54:F54"/>
    <mergeCell ref="D52:F52"/>
    <mergeCell ref="D53:F53"/>
    <mergeCell ref="C24:F24"/>
    <mergeCell ref="D49:F49"/>
    <mergeCell ref="D50:F50"/>
    <mergeCell ref="D51:F51"/>
    <mergeCell ref="C48:F48"/>
    <mergeCell ref="C42:D42"/>
    <mergeCell ref="D43:E43"/>
    <mergeCell ref="D45:E45"/>
    <mergeCell ref="C46:F46"/>
    <mergeCell ref="C47:F47"/>
    <mergeCell ref="C32:F32"/>
    <mergeCell ref="C33:F33"/>
  </mergeCells>
  <phoneticPr fontId="2" type="noConversion"/>
  <conditionalFormatting sqref="D5:F5 C18 D2:D4 D8">
    <cfRule type="containsBlanks" dxfId="43" priority="43">
      <formula>LEN(TRIM(C2))=0</formula>
    </cfRule>
  </conditionalFormatting>
  <conditionalFormatting sqref="C20">
    <cfRule type="containsBlanks" dxfId="42" priority="24">
      <formula>LEN(TRIM(C20))=0</formula>
    </cfRule>
  </conditionalFormatting>
  <conditionalFormatting sqref="C23">
    <cfRule type="containsBlanks" dxfId="41" priority="23">
      <formula>LEN(TRIM(C23))=0</formula>
    </cfRule>
  </conditionalFormatting>
  <conditionalFormatting sqref="C25">
    <cfRule type="containsBlanks" dxfId="40" priority="22">
      <formula>LEN(TRIM(C25))=0</formula>
    </cfRule>
  </conditionalFormatting>
  <conditionalFormatting sqref="C29">
    <cfRule type="containsBlanks" dxfId="39" priority="21">
      <formula>LEN(TRIM(C29))=0</formula>
    </cfRule>
  </conditionalFormatting>
  <conditionalFormatting sqref="C32">
    <cfRule type="containsBlanks" dxfId="38" priority="20">
      <formula>LEN(TRIM(C32))=0</formula>
    </cfRule>
  </conditionalFormatting>
  <conditionalFormatting sqref="C34">
    <cfRule type="containsBlanks" dxfId="37" priority="19">
      <formula>LEN(TRIM(C34))=0</formula>
    </cfRule>
  </conditionalFormatting>
  <conditionalFormatting sqref="C36">
    <cfRule type="containsBlanks" dxfId="36" priority="18">
      <formula>LEN(TRIM(C36))=0</formula>
    </cfRule>
  </conditionalFormatting>
  <conditionalFormatting sqref="C38">
    <cfRule type="containsBlanks" dxfId="35" priority="17">
      <formula>LEN(TRIM(C38))=0</formula>
    </cfRule>
  </conditionalFormatting>
  <conditionalFormatting sqref="E42">
    <cfRule type="containsBlanks" dxfId="34" priority="16">
      <formula>LEN(TRIM(E42))=0</formula>
    </cfRule>
  </conditionalFormatting>
  <conditionalFormatting sqref="D45:E45">
    <cfRule type="expression" dxfId="33" priority="15">
      <formula>$B$45=1</formula>
    </cfRule>
  </conditionalFormatting>
  <conditionalFormatting sqref="D44:E44">
    <cfRule type="expression" dxfId="32" priority="14">
      <formula>$B$44=1</formula>
    </cfRule>
  </conditionalFormatting>
  <conditionalFormatting sqref="D43:E43">
    <cfRule type="expression" dxfId="31" priority="13">
      <formula>$B$43=1</formula>
    </cfRule>
  </conditionalFormatting>
  <conditionalFormatting sqref="E40:F40">
    <cfRule type="containsBlanks" dxfId="30" priority="12">
      <formula>LEN(TRIM(E40))=0</formula>
    </cfRule>
  </conditionalFormatting>
  <conditionalFormatting sqref="C47:F47">
    <cfRule type="expression" dxfId="29" priority="11">
      <formula>AND(B47="",B45=1)</formula>
    </cfRule>
  </conditionalFormatting>
  <conditionalFormatting sqref="C45">
    <cfRule type="expression" dxfId="28" priority="10">
      <formula>AND(B47&lt;&gt;"",B45&lt;&gt;1)</formula>
    </cfRule>
  </conditionalFormatting>
  <conditionalFormatting sqref="D40">
    <cfRule type="expression" dxfId="27" priority="9">
      <formula>AND($G$40="*",$D$40="")</formula>
    </cfRule>
  </conditionalFormatting>
  <conditionalFormatting sqref="D41">
    <cfRule type="expression" dxfId="26" priority="7">
      <formula>AND($D$41="",$B$40=1)</formula>
    </cfRule>
  </conditionalFormatting>
  <conditionalFormatting sqref="D10:F10">
    <cfRule type="containsBlanks" dxfId="25" priority="1">
      <formula>LEN(TRIM(D10))=0</formula>
    </cfRule>
  </conditionalFormatting>
  <dataValidations xWindow="703" yWindow="1292" count="15">
    <dataValidation type="list" allowBlank="1" showInputMessage="1" showErrorMessage="1" sqref="D3">
      <formula1>languages</formula1>
    </dataValidation>
    <dataValidation type="whole" allowBlank="1" showInputMessage="1" showErrorMessage="1" error="Must be a whole number between 1 and 60!" sqref="D8">
      <formula1>1</formula1>
      <formula2>60</formula2>
    </dataValidation>
    <dataValidation allowBlank="1" showInputMessage="1" promptTitle="Legend" prompt="M: Mandatory_x000a_NA: Not applicable" sqref="G1"/>
    <dataValidation type="list" showInputMessage="1" showErrorMessage="1" sqref="F43:F45">
      <formula1>choice_optional</formula1>
    </dataValidation>
    <dataValidation type="list" allowBlank="1" showInputMessage="1" showErrorMessage="1" sqref="D2">
      <formula1>countries</formula1>
    </dataValidation>
    <dataValidation type="date" operator="greaterThan" allowBlank="1" showInputMessage="1" showErrorMessage="1" sqref="D41 D54:D56">
      <formula1>1</formula1>
    </dataValidation>
    <dataValidation type="textLength" operator="lessThanOrEqual" allowBlank="1" showInputMessage="1" showErrorMessage="1" error="Maximum length is 4 characters!" sqref="D57:D59">
      <formula1>4</formula1>
    </dataValidation>
    <dataValidation type="textLength" operator="lessThanOrEqual" allowBlank="1" showInputMessage="1" showErrorMessage="1" error="Maximum length of keyword is 50 characters!" sqref="D10:F14">
      <formula1>50</formula1>
    </dataValidation>
    <dataValidation type="textLength" allowBlank="1" showInputMessage="1" showErrorMessage="1" error="Maximum length is 2500 characters!" prompt="Press Alt+Enter for a new line." sqref="C18:F18 C20:F20 C23:F23 C25:F25 C29:F29 C32:F32 C34:F34 C36:F36 C38:F38">
      <formula1>1</formula1>
      <formula2>2500</formula2>
    </dataValidation>
    <dataValidation type="list" showInputMessage="1" showErrorMessage="1" sqref="D40">
      <formula1>choice_mandatory</formula1>
    </dataValidation>
    <dataValidation type="textLength" operator="lessThanOrEqual" allowBlank="1" showInputMessage="1" showErrorMessage="1" error="Maximum length is 500 characters!" sqref="C47:F47 D7:F7 D60:F60">
      <formula1>500</formula1>
    </dataValidation>
    <dataValidation showInputMessage="1" showErrorMessage="1" sqref="C27:F27 C26"/>
    <dataValidation type="textLength" allowBlank="1" showInputMessage="1" showErrorMessage="1" error="Maximum length of title is 500 characters!" sqref="D5:D6 F5:F6 E5">
      <formula1>1</formula1>
      <formula2>500</formula2>
    </dataValidation>
    <dataValidation type="textLength" operator="lessThanOrEqual" allowBlank="1" showInputMessage="1" showErrorMessage="1" error="Maximum length is 2500 characters!" sqref="D49:F53">
      <formula1>2500</formula1>
    </dataValidation>
    <dataValidation type="list" allowBlank="1" showInputMessage="1" showErrorMessage="1" sqref="D4">
      <formula1>choice_mandatory</formula1>
    </dataValidation>
  </dataValidations>
  <hyperlinks>
    <hyperlink ref="C26:E26" location="'Expected harms'!A1" display="'Expected harms'!A1"/>
    <hyperlink ref="C27:F27" location="'Fate of animals kept alive'!B4" display="'Fate of animals kept alive'!B4"/>
    <hyperlink ref="C15:D15" location="'Purpose of the project'!B3" display="'Purpose of the project'!B3"/>
  </hyperlinks>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5"/>
  <sheetViews>
    <sheetView workbookViewId="0">
      <selection activeCell="A3" sqref="A3"/>
    </sheetView>
  </sheetViews>
  <sheetFormatPr defaultRowHeight="14.25" x14ac:dyDescent="0.45"/>
  <cols>
    <col min="1" max="1" width="108.265625" customWidth="1"/>
  </cols>
  <sheetData>
    <row r="1" spans="1:1" ht="23.25" x14ac:dyDescent="0.45">
      <c r="A1" s="52" t="str">
        <f>projectPurposes_label</f>
        <v>Purpose(s) of the project</v>
      </c>
    </row>
    <row r="2" spans="1:1" ht="15" customHeight="1" x14ac:dyDescent="0.45">
      <c r="A2" s="49" t="s">
        <v>491</v>
      </c>
    </row>
    <row r="3" spans="1:1" x14ac:dyDescent="0.45">
      <c r="A3" s="10"/>
    </row>
    <row r="4" spans="1:1" x14ac:dyDescent="0.45">
      <c r="A4" s="10"/>
    </row>
    <row r="5" spans="1:1" x14ac:dyDescent="0.45">
      <c r="A5" s="10"/>
    </row>
    <row r="6" spans="1:1" x14ac:dyDescent="0.45">
      <c r="A6" s="10"/>
    </row>
    <row r="7" spans="1:1" x14ac:dyDescent="0.45">
      <c r="A7" s="10"/>
    </row>
    <row r="8" spans="1:1" x14ac:dyDescent="0.45">
      <c r="A8" s="10"/>
    </row>
    <row r="9" spans="1:1" x14ac:dyDescent="0.45">
      <c r="A9" s="10"/>
    </row>
    <row r="10" spans="1:1" x14ac:dyDescent="0.45">
      <c r="A10" s="10"/>
    </row>
    <row r="11" spans="1:1" x14ac:dyDescent="0.45">
      <c r="A11" s="10"/>
    </row>
    <row r="12" spans="1:1" x14ac:dyDescent="0.45">
      <c r="A12" s="10"/>
    </row>
    <row r="13" spans="1:1" x14ac:dyDescent="0.45">
      <c r="A13" s="10"/>
    </row>
    <row r="14" spans="1:1" x14ac:dyDescent="0.45">
      <c r="A14" s="10"/>
    </row>
    <row r="15" spans="1:1" x14ac:dyDescent="0.45">
      <c r="A15" s="10"/>
    </row>
    <row r="16" spans="1:1" x14ac:dyDescent="0.45">
      <c r="A16" s="10"/>
    </row>
    <row r="17" spans="1:1" x14ac:dyDescent="0.45">
      <c r="A17" s="10"/>
    </row>
    <row r="18" spans="1:1" x14ac:dyDescent="0.45">
      <c r="A18" s="10"/>
    </row>
    <row r="19" spans="1:1" x14ac:dyDescent="0.45">
      <c r="A19" s="10"/>
    </row>
    <row r="20" spans="1:1" x14ac:dyDescent="0.45">
      <c r="A20" s="10"/>
    </row>
    <row r="21" spans="1:1" x14ac:dyDescent="0.45">
      <c r="A21" s="10"/>
    </row>
    <row r="22" spans="1:1" x14ac:dyDescent="0.45">
      <c r="A22" s="10"/>
    </row>
    <row r="23" spans="1:1" x14ac:dyDescent="0.45">
      <c r="A23" s="10"/>
    </row>
    <row r="24" spans="1:1" x14ac:dyDescent="0.45">
      <c r="A24" s="10"/>
    </row>
    <row r="25" spans="1:1" x14ac:dyDescent="0.45">
      <c r="A25" s="10"/>
    </row>
    <row r="26" spans="1:1" x14ac:dyDescent="0.45">
      <c r="A26" s="10"/>
    </row>
    <row r="27" spans="1:1" x14ac:dyDescent="0.45">
      <c r="A27" s="10"/>
    </row>
    <row r="28" spans="1:1" x14ac:dyDescent="0.45">
      <c r="A28" s="10"/>
    </row>
    <row r="29" spans="1:1" x14ac:dyDescent="0.45">
      <c r="A29" s="10"/>
    </row>
    <row r="30" spans="1:1" x14ac:dyDescent="0.45">
      <c r="A30" s="10"/>
    </row>
    <row r="31" spans="1:1" x14ac:dyDescent="0.45">
      <c r="A31" s="10"/>
    </row>
    <row r="32" spans="1:1" x14ac:dyDescent="0.45">
      <c r="A32" s="10"/>
    </row>
    <row r="33" spans="1:1" x14ac:dyDescent="0.45">
      <c r="A33" s="10"/>
    </row>
    <row r="34" spans="1:1" x14ac:dyDescent="0.45">
      <c r="A34" s="10"/>
    </row>
    <row r="35" spans="1:1" x14ac:dyDescent="0.45">
      <c r="A35" s="10"/>
    </row>
    <row r="36" spans="1:1" x14ac:dyDescent="0.45">
      <c r="A36" s="10"/>
    </row>
    <row r="37" spans="1:1" x14ac:dyDescent="0.45">
      <c r="A37" s="10"/>
    </row>
    <row r="38" spans="1:1" x14ac:dyDescent="0.45">
      <c r="A38" s="10"/>
    </row>
    <row r="39" spans="1:1" x14ac:dyDescent="0.45">
      <c r="A39" s="10"/>
    </row>
    <row r="40" spans="1:1" x14ac:dyDescent="0.45">
      <c r="A40" s="10"/>
    </row>
    <row r="41" spans="1:1" x14ac:dyDescent="0.45">
      <c r="A41" s="10"/>
    </row>
    <row r="42" spans="1:1" x14ac:dyDescent="0.45">
      <c r="A42" s="10"/>
    </row>
    <row r="43" spans="1:1" x14ac:dyDescent="0.45">
      <c r="A43" s="10"/>
    </row>
    <row r="44" spans="1:1" x14ac:dyDescent="0.45">
      <c r="A44" s="10"/>
    </row>
    <row r="45" spans="1:1" x14ac:dyDescent="0.45">
      <c r="A45" s="10"/>
    </row>
  </sheetData>
  <sheetProtection sheet="1" objects="1" scenarios="1" selectLockedCells="1"/>
  <conditionalFormatting sqref="A3:A45">
    <cfRule type="duplicateValues" dxfId="21" priority="47"/>
  </conditionalFormatting>
  <dataValidations count="1">
    <dataValidation type="list" allowBlank="1" showInputMessage="1" showErrorMessage="1" sqref="A3:A45">
      <formula1>purposeShown</formula1>
    </dataValidation>
  </dataValidation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3"/>
  <sheetViews>
    <sheetView workbookViewId="0">
      <selection activeCell="E4" sqref="E4"/>
    </sheetView>
  </sheetViews>
  <sheetFormatPr defaultColWidth="9.06640625" defaultRowHeight="14.25" x14ac:dyDescent="0.45"/>
  <cols>
    <col min="1" max="1" width="68.06640625" style="57" customWidth="1"/>
    <col min="2" max="2" width="13.59765625" style="57" customWidth="1"/>
    <col min="3" max="3" width="11.796875" style="57" customWidth="1"/>
    <col min="4" max="4" width="11.53125" style="11" customWidth="1"/>
    <col min="5" max="5" width="11.06640625" style="11" customWidth="1"/>
    <col min="6" max="6" width="18.33203125" style="11" hidden="1" customWidth="1"/>
    <col min="7" max="7" width="32.796875" style="50" customWidth="1"/>
    <col min="8" max="8" width="54.33203125" style="11" customWidth="1"/>
    <col min="9" max="16384" width="9.06640625" style="11"/>
  </cols>
  <sheetData>
    <row r="1" spans="1:8" ht="29.25" customHeight="1" thickBot="1" x14ac:dyDescent="0.75">
      <c r="A1" s="52" t="str">
        <f>expectedHarms_label</f>
        <v>Expected harms</v>
      </c>
      <c r="B1" s="154" t="str">
        <f>numbers_per_severity_label</f>
        <v>Estimated numbers per severity</v>
      </c>
      <c r="C1" s="154"/>
      <c r="D1" s="154"/>
      <c r="E1" s="154"/>
      <c r="F1" s="115"/>
      <c r="G1" s="54"/>
    </row>
    <row r="2" spans="1:8" ht="15" customHeight="1" thickBot="1" x14ac:dyDescent="0.5">
      <c r="A2" s="55" t="str">
        <f>species_label</f>
        <v>Species</v>
      </c>
      <c r="B2" s="53" t="str">
        <f>nonRecovery_label</f>
        <v>Non-recovery</v>
      </c>
      <c r="C2" s="53" t="str">
        <f>mild_label</f>
        <v>Mild</v>
      </c>
      <c r="D2" s="53" t="str">
        <f>moderate_label</f>
        <v>Moderate</v>
      </c>
      <c r="E2" s="53" t="str">
        <f>severe_label</f>
        <v>Severe</v>
      </c>
      <c r="F2" s="53" t="str">
        <f>custom_severity_label</f>
        <v>MS custom severity</v>
      </c>
    </row>
    <row r="3" spans="1:8" ht="13.5" hidden="1" customHeight="1" x14ac:dyDescent="0.45">
      <c r="A3" s="49" t="s">
        <v>179</v>
      </c>
      <c r="B3" s="56" t="s">
        <v>180</v>
      </c>
      <c r="C3" s="56" t="s">
        <v>181</v>
      </c>
      <c r="D3" s="56" t="s">
        <v>182</v>
      </c>
      <c r="E3" s="56" t="s">
        <v>183</v>
      </c>
      <c r="F3" s="56" t="s">
        <v>546</v>
      </c>
    </row>
    <row r="4" spans="1:8" x14ac:dyDescent="0.45">
      <c r="A4" s="10"/>
      <c r="B4" s="45"/>
      <c r="C4" s="2"/>
      <c r="D4" s="2"/>
      <c r="E4" s="2"/>
      <c r="F4" s="2"/>
      <c r="G4" s="50" t="str">
        <f>IF(AND(expected_severities[[#This Row],[xs:species]]&lt;&gt;"",SUM(expected_severities[[#This Row],[xs:nonRecovery]:[xs:custom]])=0),total_number_mssg,IF(AND(expected_severities[[#This Row],[xs:species]]="",SUM(expected_severities[[#This Row],[xs:nonRecovery]:[xs:custom]])&gt;0),select_species_mssg,""))</f>
        <v/>
      </c>
      <c r="H4" s="50" t="str">
        <f>IF(AND(expected_severities[[#This Row],[xs:species]]&lt;&gt;"",OR(expected_severities[[#This Row],[xs:nonRecovery]]="",expected_severities[[#This Row],[xs:mild]]="",expected_severities[[#This Row],[xs:moderate]]="",expected_severities[[#This Row],[xs:severe]]="")),fill_all_cells_mssg,"")</f>
        <v/>
      </c>
    </row>
    <row r="5" spans="1:8" x14ac:dyDescent="0.45">
      <c r="A5" s="10"/>
      <c r="B5" s="45"/>
      <c r="C5" s="2"/>
      <c r="D5" s="2"/>
      <c r="E5" s="2"/>
      <c r="F5" s="2"/>
      <c r="G5" s="50" t="str">
        <f>IF(AND(expected_severities[[#This Row],[xs:species]]&lt;&gt;"",SUM(expected_severities[[#This Row],[xs:nonRecovery]:[xs:custom]])=0),total_number_mssg,IF(AND(expected_severities[[#This Row],[xs:species]]="",SUM(expected_severities[[#This Row],[xs:nonRecovery]:[xs:custom]])&gt;0),select_species_mssg,""))</f>
        <v/>
      </c>
      <c r="H5" s="50" t="str">
        <f>IF(AND(expected_severities[[#This Row],[xs:species]]&lt;&gt;"",OR(expected_severities[[#This Row],[xs:nonRecovery]]="",expected_severities[[#This Row],[xs:mild]]="",expected_severities[[#This Row],[xs:moderate]]="",expected_severities[[#This Row],[xs:severe]]="")),fill_all_cells_mssg,"")</f>
        <v/>
      </c>
    </row>
    <row r="6" spans="1:8" x14ac:dyDescent="0.45">
      <c r="A6" s="10"/>
      <c r="B6" s="45"/>
      <c r="C6" s="2"/>
      <c r="D6" s="2"/>
      <c r="E6" s="2"/>
      <c r="F6" s="2"/>
      <c r="G6" s="50" t="str">
        <f>IF(AND(expected_severities[[#This Row],[xs:species]]&lt;&gt;"",SUM(expected_severities[[#This Row],[xs:nonRecovery]:[xs:custom]])=0),total_number_mssg,IF(AND(expected_severities[[#This Row],[xs:species]]="",SUM(expected_severities[[#This Row],[xs:nonRecovery]:[xs:custom]])&gt;0),select_species_mssg,""))</f>
        <v/>
      </c>
      <c r="H6" s="50" t="str">
        <f>IF(AND(expected_severities[[#This Row],[xs:species]]&lt;&gt;"",OR(expected_severities[[#This Row],[xs:nonRecovery]]="",expected_severities[[#This Row],[xs:mild]]="",expected_severities[[#This Row],[xs:moderate]]="",expected_severities[[#This Row],[xs:severe]]="")),fill_all_cells_mssg,"")</f>
        <v/>
      </c>
    </row>
    <row r="7" spans="1:8" x14ac:dyDescent="0.45">
      <c r="A7" s="10"/>
      <c r="B7" s="45"/>
      <c r="C7" s="2"/>
      <c r="D7" s="2"/>
      <c r="E7" s="2"/>
      <c r="F7" s="2"/>
      <c r="G7" s="50" t="str">
        <f>IF(AND(expected_severities[[#This Row],[xs:species]]&lt;&gt;"",SUM(expected_severities[[#This Row],[xs:nonRecovery]:[xs:custom]])=0),total_number_mssg,IF(AND(expected_severities[[#This Row],[xs:species]]="",SUM(expected_severities[[#This Row],[xs:nonRecovery]:[xs:custom]])&gt;0),select_species_mssg,""))</f>
        <v/>
      </c>
      <c r="H7" s="50" t="str">
        <f>IF(AND(expected_severities[[#This Row],[xs:species]]&lt;&gt;"",OR(expected_severities[[#This Row],[xs:nonRecovery]]="",expected_severities[[#This Row],[xs:mild]]="",expected_severities[[#This Row],[xs:moderate]]="",expected_severities[[#This Row],[xs:severe]]="")),fill_all_cells_mssg,"")</f>
        <v/>
      </c>
    </row>
    <row r="8" spans="1:8" x14ac:dyDescent="0.45">
      <c r="A8" s="10"/>
      <c r="B8" s="45"/>
      <c r="C8" s="2"/>
      <c r="D8" s="2"/>
      <c r="E8" s="2"/>
      <c r="F8" s="2"/>
      <c r="G8" s="50" t="str">
        <f>IF(AND(expected_severities[[#This Row],[xs:species]]&lt;&gt;"",SUM(expected_severities[[#This Row],[xs:nonRecovery]:[xs:custom]])=0),total_number_mssg,IF(AND(expected_severities[[#This Row],[xs:species]]="",SUM(expected_severities[[#This Row],[xs:nonRecovery]:[xs:custom]])&gt;0),select_species_mssg,""))</f>
        <v/>
      </c>
      <c r="H8" s="50" t="str">
        <f>IF(AND(expected_severities[[#This Row],[xs:species]]&lt;&gt;"",OR(expected_severities[[#This Row],[xs:nonRecovery]]="",expected_severities[[#This Row],[xs:mild]]="",expected_severities[[#This Row],[xs:moderate]]="",expected_severities[[#This Row],[xs:severe]]="")),fill_all_cells_mssg,"")</f>
        <v/>
      </c>
    </row>
    <row r="9" spans="1:8" x14ac:dyDescent="0.45">
      <c r="A9" s="10"/>
      <c r="B9" s="45"/>
      <c r="C9" s="2"/>
      <c r="D9" s="2"/>
      <c r="E9" s="2"/>
      <c r="F9" s="2"/>
      <c r="G9" s="50" t="str">
        <f>IF(AND(expected_severities[[#This Row],[xs:species]]&lt;&gt;"",SUM(expected_severities[[#This Row],[xs:nonRecovery]:[xs:custom]])=0),total_number_mssg,IF(AND(expected_severities[[#This Row],[xs:species]]="",SUM(expected_severities[[#This Row],[xs:nonRecovery]:[xs:custom]])&gt;0),select_species_mssg,""))</f>
        <v/>
      </c>
      <c r="H9" s="50" t="str">
        <f>IF(AND(expected_severities[[#This Row],[xs:species]]&lt;&gt;"",OR(expected_severities[[#This Row],[xs:nonRecovery]]="",expected_severities[[#This Row],[xs:mild]]="",expected_severities[[#This Row],[xs:moderate]]="",expected_severities[[#This Row],[xs:severe]]="")),fill_all_cells_mssg,"")</f>
        <v/>
      </c>
    </row>
    <row r="10" spans="1:8" x14ac:dyDescent="0.45">
      <c r="A10" s="10"/>
      <c r="B10" s="45"/>
      <c r="C10" s="2"/>
      <c r="D10" s="2"/>
      <c r="E10" s="2"/>
      <c r="F10" s="2"/>
      <c r="G10" s="50" t="str">
        <f>IF(AND(expected_severities[[#This Row],[xs:species]]&lt;&gt;"",SUM(expected_severities[[#This Row],[xs:nonRecovery]:[xs:custom]])=0),total_number_mssg,IF(AND(expected_severities[[#This Row],[xs:species]]="",SUM(expected_severities[[#This Row],[xs:nonRecovery]:[xs:custom]])&gt;0),select_species_mssg,""))</f>
        <v/>
      </c>
      <c r="H10" s="50" t="str">
        <f>IF(AND(expected_severities[[#This Row],[xs:species]]&lt;&gt;"",OR(expected_severities[[#This Row],[xs:nonRecovery]]="",expected_severities[[#This Row],[xs:mild]]="",expected_severities[[#This Row],[xs:moderate]]="",expected_severities[[#This Row],[xs:severe]]="")),fill_all_cells_mssg,"")</f>
        <v/>
      </c>
    </row>
    <row r="11" spans="1:8" x14ac:dyDescent="0.45">
      <c r="A11" s="10"/>
      <c r="B11" s="45"/>
      <c r="C11" s="2"/>
      <c r="D11" s="2"/>
      <c r="E11" s="2"/>
      <c r="F11" s="2"/>
      <c r="G11" s="50" t="str">
        <f>IF(AND(expected_severities[[#This Row],[xs:species]]&lt;&gt;"",SUM(expected_severities[[#This Row],[xs:nonRecovery]:[xs:custom]])=0),total_number_mssg,IF(AND(expected_severities[[#This Row],[xs:species]]="",SUM(expected_severities[[#This Row],[xs:nonRecovery]:[xs:custom]])&gt;0),select_species_mssg,""))</f>
        <v/>
      </c>
      <c r="H11" s="50" t="str">
        <f>IF(AND(expected_severities[[#This Row],[xs:species]]&lt;&gt;"",OR(expected_severities[[#This Row],[xs:nonRecovery]]="",expected_severities[[#This Row],[xs:mild]]="",expected_severities[[#This Row],[xs:moderate]]="",expected_severities[[#This Row],[xs:severe]]="")),fill_all_cells_mssg,"")</f>
        <v/>
      </c>
    </row>
    <row r="12" spans="1:8" x14ac:dyDescent="0.45">
      <c r="A12" s="10"/>
      <c r="B12" s="45"/>
      <c r="C12" s="2"/>
      <c r="D12" s="2"/>
      <c r="E12" s="2"/>
      <c r="F12" s="2"/>
      <c r="G12" s="50" t="str">
        <f>IF(AND(expected_severities[[#This Row],[xs:species]]&lt;&gt;"",SUM(expected_severities[[#This Row],[xs:nonRecovery]:[xs:custom]])=0),total_number_mssg,IF(AND(expected_severities[[#This Row],[xs:species]]="",SUM(expected_severities[[#This Row],[xs:nonRecovery]:[xs:custom]])&gt;0),select_species_mssg,""))</f>
        <v/>
      </c>
      <c r="H12" s="50" t="str">
        <f>IF(AND(expected_severities[[#This Row],[xs:species]]&lt;&gt;"",OR(expected_severities[[#This Row],[xs:nonRecovery]]="",expected_severities[[#This Row],[xs:mild]]="",expected_severities[[#This Row],[xs:moderate]]="",expected_severities[[#This Row],[xs:severe]]="")),fill_all_cells_mssg,"")</f>
        <v/>
      </c>
    </row>
    <row r="13" spans="1:8" x14ac:dyDescent="0.45">
      <c r="A13" s="10"/>
      <c r="B13" s="45"/>
      <c r="C13" s="2"/>
      <c r="D13" s="2"/>
      <c r="E13" s="2"/>
      <c r="F13" s="2"/>
      <c r="G13" s="50" t="str">
        <f>IF(AND(expected_severities[[#This Row],[xs:species]]&lt;&gt;"",SUM(expected_severities[[#This Row],[xs:nonRecovery]:[xs:custom]])=0),total_number_mssg,IF(AND(expected_severities[[#This Row],[xs:species]]="",SUM(expected_severities[[#This Row],[xs:nonRecovery]:[xs:custom]])&gt;0),select_species_mssg,""))</f>
        <v/>
      </c>
      <c r="H13" s="50" t="str">
        <f>IF(AND(expected_severities[[#This Row],[xs:species]]&lt;&gt;"",OR(expected_severities[[#This Row],[xs:nonRecovery]]="",expected_severities[[#This Row],[xs:mild]]="",expected_severities[[#This Row],[xs:moderate]]="",expected_severities[[#This Row],[xs:severe]]="")),fill_all_cells_mssg,"")</f>
        <v/>
      </c>
    </row>
    <row r="14" spans="1:8" x14ac:dyDescent="0.45">
      <c r="A14" s="10"/>
      <c r="B14" s="45"/>
      <c r="C14" s="2"/>
      <c r="D14" s="2"/>
      <c r="E14" s="2"/>
      <c r="F14" s="2"/>
      <c r="G14" s="50" t="str">
        <f>IF(AND(expected_severities[[#This Row],[xs:species]]&lt;&gt;"",SUM(expected_severities[[#This Row],[xs:nonRecovery]:[xs:custom]])=0),total_number_mssg,IF(AND(expected_severities[[#This Row],[xs:species]]="",SUM(expected_severities[[#This Row],[xs:nonRecovery]:[xs:custom]])&gt;0),select_species_mssg,""))</f>
        <v/>
      </c>
      <c r="H14" s="50" t="str">
        <f>IF(AND(expected_severities[[#This Row],[xs:species]]&lt;&gt;"",OR(expected_severities[[#This Row],[xs:nonRecovery]]="",expected_severities[[#This Row],[xs:mild]]="",expected_severities[[#This Row],[xs:moderate]]="",expected_severities[[#This Row],[xs:severe]]="")),fill_all_cells_mssg,"")</f>
        <v/>
      </c>
    </row>
    <row r="15" spans="1:8" x14ac:dyDescent="0.45">
      <c r="A15" s="10"/>
      <c r="B15" s="45"/>
      <c r="C15" s="2"/>
      <c r="D15" s="2"/>
      <c r="E15" s="2"/>
      <c r="F15" s="2"/>
      <c r="G15" s="50" t="str">
        <f>IF(AND(expected_severities[[#This Row],[xs:species]]&lt;&gt;"",SUM(expected_severities[[#This Row],[xs:nonRecovery]:[xs:custom]])=0),total_number_mssg,IF(AND(expected_severities[[#This Row],[xs:species]]="",SUM(expected_severities[[#This Row],[xs:nonRecovery]:[xs:custom]])&gt;0),select_species_mssg,""))</f>
        <v/>
      </c>
      <c r="H15" s="50" t="str">
        <f>IF(AND(expected_severities[[#This Row],[xs:species]]&lt;&gt;"",OR(expected_severities[[#This Row],[xs:nonRecovery]]="",expected_severities[[#This Row],[xs:mild]]="",expected_severities[[#This Row],[xs:moderate]]="",expected_severities[[#This Row],[xs:severe]]="")),fill_all_cells_mssg,"")</f>
        <v/>
      </c>
    </row>
    <row r="16" spans="1:8" x14ac:dyDescent="0.45">
      <c r="A16" s="10"/>
      <c r="B16" s="45"/>
      <c r="C16" s="2"/>
      <c r="D16" s="2"/>
      <c r="E16" s="2"/>
      <c r="F16" s="2"/>
      <c r="G16" s="50" t="str">
        <f>IF(AND(expected_severities[[#This Row],[xs:species]]&lt;&gt;"",SUM(expected_severities[[#This Row],[xs:nonRecovery]:[xs:custom]])=0),total_number_mssg,IF(AND(expected_severities[[#This Row],[xs:species]]="",SUM(expected_severities[[#This Row],[xs:nonRecovery]:[xs:custom]])&gt;0),select_species_mssg,""))</f>
        <v/>
      </c>
      <c r="H16" s="50" t="str">
        <f>IF(AND(expected_severities[[#This Row],[xs:species]]&lt;&gt;"",OR(expected_severities[[#This Row],[xs:nonRecovery]]="",expected_severities[[#This Row],[xs:mild]]="",expected_severities[[#This Row],[xs:moderate]]="",expected_severities[[#This Row],[xs:severe]]="")),fill_all_cells_mssg,"")</f>
        <v/>
      </c>
    </row>
    <row r="17" spans="1:8" x14ac:dyDescent="0.45">
      <c r="A17" s="10"/>
      <c r="B17" s="45"/>
      <c r="C17" s="2"/>
      <c r="D17" s="2"/>
      <c r="E17" s="2"/>
      <c r="F17" s="2"/>
      <c r="G17" s="50" t="str">
        <f>IF(AND(expected_severities[[#This Row],[xs:species]]&lt;&gt;"",SUM(expected_severities[[#This Row],[xs:nonRecovery]:[xs:custom]])=0),total_number_mssg,IF(AND(expected_severities[[#This Row],[xs:species]]="",SUM(expected_severities[[#This Row],[xs:nonRecovery]:[xs:custom]])&gt;0),select_species_mssg,""))</f>
        <v/>
      </c>
      <c r="H17" s="50" t="str">
        <f>IF(AND(expected_severities[[#This Row],[xs:species]]&lt;&gt;"",OR(expected_severities[[#This Row],[xs:nonRecovery]]="",expected_severities[[#This Row],[xs:mild]]="",expected_severities[[#This Row],[xs:moderate]]="",expected_severities[[#This Row],[xs:severe]]="")),fill_all_cells_mssg,"")</f>
        <v/>
      </c>
    </row>
    <row r="18" spans="1:8" x14ac:dyDescent="0.45">
      <c r="A18" s="10"/>
      <c r="B18" s="45"/>
      <c r="C18" s="2"/>
      <c r="D18" s="2"/>
      <c r="E18" s="2"/>
      <c r="F18" s="2"/>
      <c r="G18" s="50" t="str">
        <f>IF(AND(expected_severities[[#This Row],[xs:species]]&lt;&gt;"",SUM(expected_severities[[#This Row],[xs:nonRecovery]:[xs:custom]])=0),total_number_mssg,IF(AND(expected_severities[[#This Row],[xs:species]]="",SUM(expected_severities[[#This Row],[xs:nonRecovery]:[xs:custom]])&gt;0),select_species_mssg,""))</f>
        <v/>
      </c>
      <c r="H18" s="50" t="str">
        <f>IF(AND(expected_severities[[#This Row],[xs:species]]&lt;&gt;"",OR(expected_severities[[#This Row],[xs:nonRecovery]]="",expected_severities[[#This Row],[xs:mild]]="",expected_severities[[#This Row],[xs:moderate]]="",expected_severities[[#This Row],[xs:severe]]="")),fill_all_cells_mssg,"")</f>
        <v/>
      </c>
    </row>
    <row r="19" spans="1:8" x14ac:dyDescent="0.45">
      <c r="A19" s="10"/>
      <c r="B19" s="45"/>
      <c r="C19" s="2"/>
      <c r="D19" s="2"/>
      <c r="E19" s="2"/>
      <c r="F19" s="2"/>
      <c r="G19" s="50" t="str">
        <f>IF(AND(expected_severities[[#This Row],[xs:species]]&lt;&gt;"",SUM(expected_severities[[#This Row],[xs:nonRecovery]:[xs:custom]])=0),total_number_mssg,IF(AND(expected_severities[[#This Row],[xs:species]]="",SUM(expected_severities[[#This Row],[xs:nonRecovery]:[xs:custom]])&gt;0),select_species_mssg,""))</f>
        <v/>
      </c>
      <c r="H19" s="50" t="str">
        <f>IF(AND(expected_severities[[#This Row],[xs:species]]&lt;&gt;"",OR(expected_severities[[#This Row],[xs:nonRecovery]]="",expected_severities[[#This Row],[xs:mild]]="",expected_severities[[#This Row],[xs:moderate]]="",expected_severities[[#This Row],[xs:severe]]="")),fill_all_cells_mssg,"")</f>
        <v/>
      </c>
    </row>
    <row r="20" spans="1:8" x14ac:dyDescent="0.45">
      <c r="A20" s="10"/>
      <c r="B20" s="45"/>
      <c r="C20" s="2"/>
      <c r="D20" s="2"/>
      <c r="E20" s="2"/>
      <c r="F20" s="2"/>
      <c r="G20" s="50" t="str">
        <f>IF(AND(expected_severities[[#This Row],[xs:species]]&lt;&gt;"",SUM(expected_severities[[#This Row],[xs:nonRecovery]:[xs:custom]])=0),total_number_mssg,IF(AND(expected_severities[[#This Row],[xs:species]]="",SUM(expected_severities[[#This Row],[xs:nonRecovery]:[xs:custom]])&gt;0),select_species_mssg,""))</f>
        <v/>
      </c>
      <c r="H20" s="50" t="str">
        <f>IF(AND(expected_severities[[#This Row],[xs:species]]&lt;&gt;"",OR(expected_severities[[#This Row],[xs:nonRecovery]]="",expected_severities[[#This Row],[xs:mild]]="",expected_severities[[#This Row],[xs:moderate]]="",expected_severities[[#This Row],[xs:severe]]="")),fill_all_cells_mssg,"")</f>
        <v/>
      </c>
    </row>
    <row r="21" spans="1:8" x14ac:dyDescent="0.45">
      <c r="A21" s="10"/>
      <c r="B21" s="45"/>
      <c r="C21" s="2"/>
      <c r="D21" s="2"/>
      <c r="E21" s="2"/>
      <c r="F21" s="2"/>
      <c r="G21" s="50" t="str">
        <f>IF(AND(expected_severities[[#This Row],[xs:species]]&lt;&gt;"",SUM(expected_severities[[#This Row],[xs:nonRecovery]:[xs:custom]])=0),total_number_mssg,IF(AND(expected_severities[[#This Row],[xs:species]]="",SUM(expected_severities[[#This Row],[xs:nonRecovery]:[xs:custom]])&gt;0),select_species_mssg,""))</f>
        <v/>
      </c>
      <c r="H21" s="50" t="str">
        <f>IF(AND(expected_severities[[#This Row],[xs:species]]&lt;&gt;"",OR(expected_severities[[#This Row],[xs:nonRecovery]]="",expected_severities[[#This Row],[xs:mild]]="",expected_severities[[#This Row],[xs:moderate]]="",expected_severities[[#This Row],[xs:severe]]="")),fill_all_cells_mssg,"")</f>
        <v/>
      </c>
    </row>
    <row r="22" spans="1:8" x14ac:dyDescent="0.45">
      <c r="A22" s="10"/>
      <c r="B22" s="45"/>
      <c r="C22" s="2"/>
      <c r="D22" s="2"/>
      <c r="E22" s="2"/>
      <c r="F22" s="2"/>
      <c r="G22" s="50" t="str">
        <f>IF(AND(expected_severities[[#This Row],[xs:species]]&lt;&gt;"",SUM(expected_severities[[#This Row],[xs:nonRecovery]:[xs:custom]])=0),total_number_mssg,IF(AND(expected_severities[[#This Row],[xs:species]]="",SUM(expected_severities[[#This Row],[xs:nonRecovery]:[xs:custom]])&gt;0),select_species_mssg,""))</f>
        <v/>
      </c>
      <c r="H22" s="50" t="str">
        <f>IF(AND(expected_severities[[#This Row],[xs:species]]&lt;&gt;"",OR(expected_severities[[#This Row],[xs:nonRecovery]]="",expected_severities[[#This Row],[xs:mild]]="",expected_severities[[#This Row],[xs:moderate]]="",expected_severities[[#This Row],[xs:severe]]="")),fill_all_cells_mssg,"")</f>
        <v/>
      </c>
    </row>
    <row r="23" spans="1:8" x14ac:dyDescent="0.45">
      <c r="A23" s="10"/>
      <c r="B23" s="45"/>
      <c r="C23" s="2"/>
      <c r="D23" s="2"/>
      <c r="E23" s="2"/>
      <c r="F23" s="2"/>
      <c r="G23" s="50" t="str">
        <f>IF(AND(expected_severities[[#This Row],[xs:species]]&lt;&gt;"",SUM(expected_severities[[#This Row],[xs:nonRecovery]:[xs:custom]])=0),total_number_mssg,IF(AND(expected_severities[[#This Row],[xs:species]]="",SUM(expected_severities[[#This Row],[xs:nonRecovery]:[xs:custom]])&gt;0),select_species_mssg,""))</f>
        <v/>
      </c>
      <c r="H23" s="50" t="str">
        <f>IF(AND(expected_severities[[#This Row],[xs:species]]&lt;&gt;"",OR(expected_severities[[#This Row],[xs:nonRecovery]]="",expected_severities[[#This Row],[xs:mild]]="",expected_severities[[#This Row],[xs:moderate]]="",expected_severities[[#This Row],[xs:severe]]="")),fill_all_cells_mssg,"")</f>
        <v/>
      </c>
    </row>
    <row r="24" spans="1:8" x14ac:dyDescent="0.45">
      <c r="A24" s="10"/>
      <c r="B24" s="45"/>
      <c r="C24" s="2"/>
      <c r="D24" s="2"/>
      <c r="E24" s="2"/>
      <c r="F24" s="2"/>
      <c r="G24" s="50" t="str">
        <f>IF(AND(expected_severities[[#This Row],[xs:species]]&lt;&gt;"",SUM(expected_severities[[#This Row],[xs:nonRecovery]:[xs:custom]])=0),total_number_mssg,IF(AND(expected_severities[[#This Row],[xs:species]]="",SUM(expected_severities[[#This Row],[xs:nonRecovery]:[xs:custom]])&gt;0),select_species_mssg,""))</f>
        <v/>
      </c>
      <c r="H24" s="50" t="str">
        <f>IF(AND(expected_severities[[#This Row],[xs:species]]&lt;&gt;"",OR(expected_severities[[#This Row],[xs:nonRecovery]]="",expected_severities[[#This Row],[xs:mild]]="",expected_severities[[#This Row],[xs:moderate]]="",expected_severities[[#This Row],[xs:severe]]="")),fill_all_cells_mssg,"")</f>
        <v/>
      </c>
    </row>
    <row r="25" spans="1:8" x14ac:dyDescent="0.45">
      <c r="A25" s="10"/>
      <c r="B25" s="45"/>
      <c r="C25" s="2"/>
      <c r="D25" s="2"/>
      <c r="E25" s="2"/>
      <c r="F25" s="2"/>
      <c r="G25" s="50" t="str">
        <f>IF(AND(expected_severities[[#This Row],[xs:species]]&lt;&gt;"",SUM(expected_severities[[#This Row],[xs:nonRecovery]:[xs:custom]])=0),total_number_mssg,IF(AND(expected_severities[[#This Row],[xs:species]]="",SUM(expected_severities[[#This Row],[xs:nonRecovery]:[xs:custom]])&gt;0),select_species_mssg,""))</f>
        <v/>
      </c>
      <c r="H25" s="50" t="str">
        <f>IF(AND(expected_severities[[#This Row],[xs:species]]&lt;&gt;"",OR(expected_severities[[#This Row],[xs:nonRecovery]]="",expected_severities[[#This Row],[xs:mild]]="",expected_severities[[#This Row],[xs:moderate]]="",expected_severities[[#This Row],[xs:severe]]="")),fill_all_cells_mssg,"")</f>
        <v/>
      </c>
    </row>
    <row r="26" spans="1:8" x14ac:dyDescent="0.45">
      <c r="A26" s="10"/>
      <c r="B26" s="45"/>
      <c r="C26" s="2"/>
      <c r="D26" s="2"/>
      <c r="E26" s="2"/>
      <c r="F26" s="2"/>
      <c r="G26" s="50" t="str">
        <f>IF(AND(expected_severities[[#This Row],[xs:species]]&lt;&gt;"",SUM(expected_severities[[#This Row],[xs:nonRecovery]:[xs:custom]])=0),total_number_mssg,IF(AND(expected_severities[[#This Row],[xs:species]]="",SUM(expected_severities[[#This Row],[xs:nonRecovery]:[xs:custom]])&gt;0),select_species_mssg,""))</f>
        <v/>
      </c>
      <c r="H26" s="50" t="str">
        <f>IF(AND(expected_severities[[#This Row],[xs:species]]&lt;&gt;"",OR(expected_severities[[#This Row],[xs:nonRecovery]]="",expected_severities[[#This Row],[xs:mild]]="",expected_severities[[#This Row],[xs:moderate]]="",expected_severities[[#This Row],[xs:severe]]="")),fill_all_cells_mssg,"")</f>
        <v/>
      </c>
    </row>
    <row r="27" spans="1:8" x14ac:dyDescent="0.45">
      <c r="A27" s="10"/>
      <c r="B27" s="45"/>
      <c r="C27" s="2"/>
      <c r="D27" s="2"/>
      <c r="E27" s="2"/>
      <c r="F27" s="2"/>
      <c r="G27" s="50" t="str">
        <f>IF(AND(expected_severities[[#This Row],[xs:species]]&lt;&gt;"",SUM(expected_severities[[#This Row],[xs:nonRecovery]:[xs:custom]])=0),total_number_mssg,IF(AND(expected_severities[[#This Row],[xs:species]]="",SUM(expected_severities[[#This Row],[xs:nonRecovery]:[xs:custom]])&gt;0),select_species_mssg,""))</f>
        <v/>
      </c>
      <c r="H27" s="50" t="str">
        <f>IF(AND(expected_severities[[#This Row],[xs:species]]&lt;&gt;"",OR(expected_severities[[#This Row],[xs:nonRecovery]]="",expected_severities[[#This Row],[xs:mild]]="",expected_severities[[#This Row],[xs:moderate]]="",expected_severities[[#This Row],[xs:severe]]="")),fill_all_cells_mssg,"")</f>
        <v/>
      </c>
    </row>
    <row r="28" spans="1:8" x14ac:dyDescent="0.45">
      <c r="A28" s="10"/>
      <c r="B28" s="45"/>
      <c r="C28" s="2"/>
      <c r="D28" s="2"/>
      <c r="E28" s="2"/>
      <c r="F28" s="2"/>
      <c r="G28" s="50" t="str">
        <f>IF(AND(expected_severities[[#This Row],[xs:species]]&lt;&gt;"",SUM(expected_severities[[#This Row],[xs:nonRecovery]:[xs:custom]])=0),total_number_mssg,IF(AND(expected_severities[[#This Row],[xs:species]]="",SUM(expected_severities[[#This Row],[xs:nonRecovery]:[xs:custom]])&gt;0),select_species_mssg,""))</f>
        <v/>
      </c>
      <c r="H28" s="50" t="str">
        <f>IF(AND(expected_severities[[#This Row],[xs:species]]&lt;&gt;"",OR(expected_severities[[#This Row],[xs:nonRecovery]]="",expected_severities[[#This Row],[xs:mild]]="",expected_severities[[#This Row],[xs:moderate]]="",expected_severities[[#This Row],[xs:severe]]="")),fill_all_cells_mssg,"")</f>
        <v/>
      </c>
    </row>
    <row r="29" spans="1:8" x14ac:dyDescent="0.45">
      <c r="A29" s="10"/>
      <c r="B29" s="45"/>
      <c r="C29" s="2"/>
      <c r="D29" s="2"/>
      <c r="E29" s="2"/>
      <c r="F29" s="2"/>
      <c r="G29" s="50" t="str">
        <f>IF(AND(expected_severities[[#This Row],[xs:species]]&lt;&gt;"",SUM(expected_severities[[#This Row],[xs:nonRecovery]:[xs:custom]])=0),total_number_mssg,IF(AND(expected_severities[[#This Row],[xs:species]]="",SUM(expected_severities[[#This Row],[xs:nonRecovery]:[xs:custom]])&gt;0),select_species_mssg,""))</f>
        <v/>
      </c>
      <c r="H29" s="50" t="str">
        <f>IF(AND(expected_severities[[#This Row],[xs:species]]&lt;&gt;"",OR(expected_severities[[#This Row],[xs:nonRecovery]]="",expected_severities[[#This Row],[xs:mild]]="",expected_severities[[#This Row],[xs:moderate]]="",expected_severities[[#This Row],[xs:severe]]="")),fill_all_cells_mssg,"")</f>
        <v/>
      </c>
    </row>
    <row r="30" spans="1:8" x14ac:dyDescent="0.45">
      <c r="A30" s="10"/>
      <c r="B30" s="45"/>
      <c r="C30" s="2"/>
      <c r="D30" s="2"/>
      <c r="E30" s="2"/>
      <c r="F30" s="2"/>
      <c r="G30" s="50" t="str">
        <f>IF(AND(expected_severities[[#This Row],[xs:species]]&lt;&gt;"",SUM(expected_severities[[#This Row],[xs:nonRecovery]:[xs:custom]])=0),total_number_mssg,IF(AND(expected_severities[[#This Row],[xs:species]]="",SUM(expected_severities[[#This Row],[xs:nonRecovery]:[xs:custom]])&gt;0),select_species_mssg,""))</f>
        <v/>
      </c>
      <c r="H30" s="50" t="str">
        <f>IF(AND(expected_severities[[#This Row],[xs:species]]&lt;&gt;"",OR(expected_severities[[#This Row],[xs:nonRecovery]]="",expected_severities[[#This Row],[xs:mild]]="",expected_severities[[#This Row],[xs:moderate]]="",expected_severities[[#This Row],[xs:severe]]="")),fill_all_cells_mssg,"")</f>
        <v/>
      </c>
    </row>
    <row r="31" spans="1:8" x14ac:dyDescent="0.45">
      <c r="A31" s="10"/>
      <c r="B31" s="45"/>
      <c r="C31" s="2"/>
      <c r="D31" s="2"/>
      <c r="E31" s="2"/>
      <c r="F31" s="2"/>
      <c r="G31" s="50" t="str">
        <f>IF(AND(expected_severities[[#This Row],[xs:species]]&lt;&gt;"",SUM(expected_severities[[#This Row],[xs:nonRecovery]:[xs:custom]])=0),total_number_mssg,IF(AND(expected_severities[[#This Row],[xs:species]]="",SUM(expected_severities[[#This Row],[xs:nonRecovery]:[xs:custom]])&gt;0),select_species_mssg,""))</f>
        <v/>
      </c>
      <c r="H31" s="50" t="str">
        <f>IF(AND(expected_severities[[#This Row],[xs:species]]&lt;&gt;"",OR(expected_severities[[#This Row],[xs:nonRecovery]]="",expected_severities[[#This Row],[xs:mild]]="",expected_severities[[#This Row],[xs:moderate]]="",expected_severities[[#This Row],[xs:severe]]="")),fill_all_cells_mssg,"")</f>
        <v/>
      </c>
    </row>
    <row r="32" spans="1:8" x14ac:dyDescent="0.45">
      <c r="A32" s="10"/>
      <c r="B32" s="45"/>
      <c r="C32" s="2"/>
      <c r="D32" s="2"/>
      <c r="E32" s="2"/>
      <c r="F32" s="2"/>
      <c r="G32" s="50" t="str">
        <f>IF(AND(expected_severities[[#This Row],[xs:species]]&lt;&gt;"",SUM(expected_severities[[#This Row],[xs:nonRecovery]:[xs:custom]])=0),total_number_mssg,IF(AND(expected_severities[[#This Row],[xs:species]]="",SUM(expected_severities[[#This Row],[xs:nonRecovery]:[xs:custom]])&gt;0),select_species_mssg,""))</f>
        <v/>
      </c>
      <c r="H32" s="50" t="str">
        <f>IF(AND(expected_severities[[#This Row],[xs:species]]&lt;&gt;"",OR(expected_severities[[#This Row],[xs:nonRecovery]]="",expected_severities[[#This Row],[xs:mild]]="",expected_severities[[#This Row],[xs:moderate]]="",expected_severities[[#This Row],[xs:severe]]="")),fill_all_cells_mssg,"")</f>
        <v/>
      </c>
    </row>
    <row r="33" spans="1:8" x14ac:dyDescent="0.45">
      <c r="A33" s="10"/>
      <c r="B33" s="45"/>
      <c r="C33" s="2"/>
      <c r="D33" s="2"/>
      <c r="E33" s="2"/>
      <c r="F33" s="2"/>
      <c r="G33" s="50" t="str">
        <f>IF(AND(expected_severities[[#This Row],[xs:species]]&lt;&gt;"",SUM(expected_severities[[#This Row],[xs:nonRecovery]:[xs:custom]])=0),total_number_mssg,IF(AND(expected_severities[[#This Row],[xs:species]]="",SUM(expected_severities[[#This Row],[xs:nonRecovery]:[xs:custom]])&gt;0),select_species_mssg,""))</f>
        <v/>
      </c>
      <c r="H33" s="50" t="str">
        <f>IF(AND(expected_severities[[#This Row],[xs:species]]&lt;&gt;"",OR(expected_severities[[#This Row],[xs:nonRecovery]]="",expected_severities[[#This Row],[xs:mild]]="",expected_severities[[#This Row],[xs:moderate]]="",expected_severities[[#This Row],[xs:severe]]="")),fill_all_cells_mssg,"")</f>
        <v/>
      </c>
    </row>
    <row r="34" spans="1:8" x14ac:dyDescent="0.45">
      <c r="A34" s="10"/>
      <c r="B34" s="45"/>
      <c r="C34" s="2"/>
      <c r="D34" s="2"/>
      <c r="E34" s="2"/>
      <c r="F34" s="2"/>
      <c r="G34" s="50" t="str">
        <f>IF(AND(expected_severities[[#This Row],[xs:species]]&lt;&gt;"",SUM(expected_severities[[#This Row],[xs:nonRecovery]:[xs:custom]])=0),total_number_mssg,IF(AND(expected_severities[[#This Row],[xs:species]]="",SUM(expected_severities[[#This Row],[xs:nonRecovery]:[xs:custom]])&gt;0),select_species_mssg,""))</f>
        <v/>
      </c>
      <c r="H34" s="50" t="str">
        <f>IF(AND(expected_severities[[#This Row],[xs:species]]&lt;&gt;"",OR(expected_severities[[#This Row],[xs:nonRecovery]]="",expected_severities[[#This Row],[xs:mild]]="",expected_severities[[#This Row],[xs:moderate]]="",expected_severities[[#This Row],[xs:severe]]="")),fill_all_cells_mssg,"")</f>
        <v/>
      </c>
    </row>
    <row r="35" spans="1:8" x14ac:dyDescent="0.45">
      <c r="A35" s="10"/>
      <c r="B35" s="45"/>
      <c r="C35" s="2"/>
      <c r="D35" s="2"/>
      <c r="E35" s="2"/>
      <c r="F35" s="2"/>
      <c r="G35" s="50" t="str">
        <f>IF(AND(expected_severities[[#This Row],[xs:species]]&lt;&gt;"",SUM(expected_severities[[#This Row],[xs:nonRecovery]:[xs:custom]])=0),total_number_mssg,IF(AND(expected_severities[[#This Row],[xs:species]]="",SUM(expected_severities[[#This Row],[xs:nonRecovery]:[xs:custom]])&gt;0),select_species_mssg,""))</f>
        <v/>
      </c>
      <c r="H35" s="50" t="str">
        <f>IF(AND(expected_severities[[#This Row],[xs:species]]&lt;&gt;"",OR(expected_severities[[#This Row],[xs:nonRecovery]]="",expected_severities[[#This Row],[xs:mild]]="",expected_severities[[#This Row],[xs:moderate]]="",expected_severities[[#This Row],[xs:severe]]="")),fill_all_cells_mssg,"")</f>
        <v/>
      </c>
    </row>
    <row r="36" spans="1:8" x14ac:dyDescent="0.45">
      <c r="A36" s="10"/>
      <c r="B36" s="45"/>
      <c r="C36" s="2"/>
      <c r="D36" s="2"/>
      <c r="E36" s="2"/>
      <c r="F36" s="2"/>
      <c r="G36" s="50" t="str">
        <f>IF(AND(expected_severities[[#This Row],[xs:species]]&lt;&gt;"",SUM(expected_severities[[#This Row],[xs:nonRecovery]:[xs:custom]])=0),total_number_mssg,IF(AND(expected_severities[[#This Row],[xs:species]]="",SUM(expected_severities[[#This Row],[xs:nonRecovery]:[xs:custom]])&gt;0),select_species_mssg,""))</f>
        <v/>
      </c>
      <c r="H36" s="50" t="str">
        <f>IF(AND(expected_severities[[#This Row],[xs:species]]&lt;&gt;"",OR(expected_severities[[#This Row],[xs:nonRecovery]]="",expected_severities[[#This Row],[xs:mild]]="",expected_severities[[#This Row],[xs:moderate]]="",expected_severities[[#This Row],[xs:severe]]="")),fill_all_cells_mssg,"")</f>
        <v/>
      </c>
    </row>
    <row r="37" spans="1:8" x14ac:dyDescent="0.45">
      <c r="A37" s="10"/>
      <c r="B37" s="45"/>
      <c r="C37" s="2"/>
      <c r="D37" s="2"/>
      <c r="E37" s="2"/>
      <c r="F37" s="2"/>
      <c r="G37" s="50" t="str">
        <f>IF(AND(expected_severities[[#This Row],[xs:species]]&lt;&gt;"",SUM(expected_severities[[#This Row],[xs:nonRecovery]:[xs:custom]])=0),total_number_mssg,IF(AND(expected_severities[[#This Row],[xs:species]]="",SUM(expected_severities[[#This Row],[xs:nonRecovery]:[xs:custom]])&gt;0),select_species_mssg,""))</f>
        <v/>
      </c>
      <c r="H37" s="50" t="str">
        <f>IF(AND(expected_severities[[#This Row],[xs:species]]&lt;&gt;"",OR(expected_severities[[#This Row],[xs:nonRecovery]]="",expected_severities[[#This Row],[xs:mild]]="",expected_severities[[#This Row],[xs:moderate]]="",expected_severities[[#This Row],[xs:severe]]="")),fill_all_cells_mssg,"")</f>
        <v/>
      </c>
    </row>
    <row r="38" spans="1:8" x14ac:dyDescent="0.45">
      <c r="A38" s="10"/>
      <c r="B38" s="45"/>
      <c r="C38" s="2"/>
      <c r="D38" s="2"/>
      <c r="E38" s="2"/>
      <c r="F38" s="2"/>
      <c r="G38" s="50" t="str">
        <f>IF(AND(expected_severities[[#This Row],[xs:species]]&lt;&gt;"",SUM(expected_severities[[#This Row],[xs:nonRecovery]:[xs:custom]])=0),total_number_mssg,IF(AND(expected_severities[[#This Row],[xs:species]]="",SUM(expected_severities[[#This Row],[xs:nonRecovery]:[xs:custom]])&gt;0),select_species_mssg,""))</f>
        <v/>
      </c>
      <c r="H38" s="50" t="str">
        <f>IF(AND(expected_severities[[#This Row],[xs:species]]&lt;&gt;"",OR(expected_severities[[#This Row],[xs:nonRecovery]]="",expected_severities[[#This Row],[xs:mild]]="",expected_severities[[#This Row],[xs:moderate]]="",expected_severities[[#This Row],[xs:severe]]="")),fill_all_cells_mssg,"")</f>
        <v/>
      </c>
    </row>
    <row r="39" spans="1:8" x14ac:dyDescent="0.45">
      <c r="A39" s="10"/>
      <c r="B39" s="45"/>
      <c r="C39" s="2"/>
      <c r="D39" s="2"/>
      <c r="E39" s="2"/>
      <c r="F39" s="2"/>
      <c r="G39" s="50" t="str">
        <f>IF(AND(expected_severities[[#This Row],[xs:species]]&lt;&gt;"",SUM(expected_severities[[#This Row],[xs:nonRecovery]:[xs:custom]])=0),total_number_mssg,IF(AND(expected_severities[[#This Row],[xs:species]]="",SUM(expected_severities[[#This Row],[xs:nonRecovery]:[xs:custom]])&gt;0),select_species_mssg,""))</f>
        <v/>
      </c>
      <c r="H39" s="50" t="str">
        <f>IF(AND(expected_severities[[#This Row],[xs:species]]&lt;&gt;"",OR(expected_severities[[#This Row],[xs:nonRecovery]]="",expected_severities[[#This Row],[xs:mild]]="",expected_severities[[#This Row],[xs:moderate]]="",expected_severities[[#This Row],[xs:severe]]="")),fill_all_cells_mssg,"")</f>
        <v/>
      </c>
    </row>
    <row r="40" spans="1:8" x14ac:dyDescent="0.45">
      <c r="A40" s="10"/>
      <c r="B40" s="45"/>
      <c r="C40" s="2"/>
      <c r="D40" s="2"/>
      <c r="E40" s="2"/>
      <c r="F40" s="2"/>
      <c r="G40" s="50" t="str">
        <f>IF(AND(expected_severities[[#This Row],[xs:species]]&lt;&gt;"",SUM(expected_severities[[#This Row],[xs:nonRecovery]:[xs:custom]])=0),total_number_mssg,IF(AND(expected_severities[[#This Row],[xs:species]]="",SUM(expected_severities[[#This Row],[xs:nonRecovery]:[xs:custom]])&gt;0),select_species_mssg,""))</f>
        <v/>
      </c>
      <c r="H40" s="50" t="str">
        <f>IF(AND(expected_severities[[#This Row],[xs:species]]&lt;&gt;"",OR(expected_severities[[#This Row],[xs:nonRecovery]]="",expected_severities[[#This Row],[xs:mild]]="",expected_severities[[#This Row],[xs:moderate]]="",expected_severities[[#This Row],[xs:severe]]="")),fill_all_cells_mssg,"")</f>
        <v/>
      </c>
    </row>
    <row r="41" spans="1:8" x14ac:dyDescent="0.45">
      <c r="A41" s="10"/>
      <c r="B41" s="45"/>
      <c r="C41" s="2"/>
      <c r="D41" s="2"/>
      <c r="E41" s="2"/>
      <c r="F41" s="2"/>
      <c r="G41" s="50" t="str">
        <f>IF(AND(expected_severities[[#This Row],[xs:species]]&lt;&gt;"",SUM(expected_severities[[#This Row],[xs:nonRecovery]:[xs:custom]])=0),total_number_mssg,IF(AND(expected_severities[[#This Row],[xs:species]]="",SUM(expected_severities[[#This Row],[xs:nonRecovery]:[xs:custom]])&gt;0),select_species_mssg,""))</f>
        <v/>
      </c>
      <c r="H41" s="50" t="str">
        <f>IF(AND(expected_severities[[#This Row],[xs:species]]&lt;&gt;"",OR(expected_severities[[#This Row],[xs:nonRecovery]]="",expected_severities[[#This Row],[xs:mild]]="",expected_severities[[#This Row],[xs:moderate]]="",expected_severities[[#This Row],[xs:severe]]="")),fill_all_cells_mssg,"")</f>
        <v/>
      </c>
    </row>
    <row r="42" spans="1:8" x14ac:dyDescent="0.45">
      <c r="A42" s="10"/>
      <c r="B42" s="45"/>
      <c r="C42" s="2"/>
      <c r="D42" s="2"/>
      <c r="E42" s="2"/>
      <c r="F42" s="2"/>
      <c r="G42" s="50" t="str">
        <f>IF(AND(expected_severities[[#This Row],[xs:species]]&lt;&gt;"",SUM(expected_severities[[#This Row],[xs:nonRecovery]:[xs:custom]])=0),total_number_mssg,IF(AND(expected_severities[[#This Row],[xs:species]]="",SUM(expected_severities[[#This Row],[xs:nonRecovery]:[xs:custom]])&gt;0),select_species_mssg,""))</f>
        <v/>
      </c>
      <c r="H42" s="50" t="str">
        <f>IF(AND(expected_severities[[#This Row],[xs:species]]&lt;&gt;"",OR(expected_severities[[#This Row],[xs:nonRecovery]]="",expected_severities[[#This Row],[xs:mild]]="",expected_severities[[#This Row],[xs:moderate]]="",expected_severities[[#This Row],[xs:severe]]="")),fill_all_cells_mssg,"")</f>
        <v/>
      </c>
    </row>
    <row r="43" spans="1:8" x14ac:dyDescent="0.45">
      <c r="C43" s="11"/>
    </row>
  </sheetData>
  <sheetProtection sheet="1" selectLockedCells="1"/>
  <mergeCells count="1">
    <mergeCell ref="B1:E1"/>
  </mergeCells>
  <conditionalFormatting sqref="A4:A42">
    <cfRule type="duplicateValues" dxfId="19" priority="3"/>
  </conditionalFormatting>
  <conditionalFormatting sqref="G4:G42">
    <cfRule type="notContainsBlanks" dxfId="18" priority="2">
      <formula>LEN(TRIM(G4))&gt;0</formula>
    </cfRule>
  </conditionalFormatting>
  <conditionalFormatting sqref="H4:H42">
    <cfRule type="notContainsBlanks" dxfId="17" priority="1">
      <formula>LEN(TRIM(H4))&gt;0</formula>
    </cfRule>
  </conditionalFormatting>
  <dataValidations count="2">
    <dataValidation type="whole" operator="greaterThanOrEqual" allowBlank="1" showInputMessage="1" showErrorMessage="1" sqref="B4:F42">
      <formula1>0</formula1>
    </dataValidation>
    <dataValidation type="list" allowBlank="1" showInputMessage="1" showErrorMessage="1" sqref="A4:A42">
      <formula1>speciesShown</formula1>
    </dataValidation>
  </dataValidations>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2"/>
  <sheetViews>
    <sheetView workbookViewId="0">
      <selection activeCell="C6" sqref="C6"/>
    </sheetView>
  </sheetViews>
  <sheetFormatPr defaultColWidth="9.06640625" defaultRowHeight="14.25" x14ac:dyDescent="0.45"/>
  <cols>
    <col min="1" max="1" width="67.46484375" style="11" customWidth="1"/>
    <col min="2" max="4" width="20.73046875" style="11" customWidth="1"/>
    <col min="5" max="5" width="37.796875" style="11" customWidth="1"/>
    <col min="6" max="6" width="65.265625" style="11" customWidth="1"/>
    <col min="7" max="16384" width="9.06640625" style="11"/>
  </cols>
  <sheetData>
    <row r="1" spans="1:6" ht="29.25" customHeight="1" x14ac:dyDescent="0.7">
      <c r="A1" s="52" t="str">
        <f>fateList_label</f>
        <v>Fate of animals kept alive</v>
      </c>
      <c r="B1" s="155" t="str">
        <f>numbers_per_fate_label</f>
        <v>Estimated numbers of animals to be reused, to be returned to habitat/husbandry system or to be rehomed</v>
      </c>
      <c r="C1" s="155"/>
      <c r="D1" s="155"/>
      <c r="E1" s="54"/>
    </row>
    <row r="2" spans="1:6" ht="14.65" thickBot="1" x14ac:dyDescent="0.5">
      <c r="A2" s="55" t="str">
        <f>species_label</f>
        <v>Species</v>
      </c>
      <c r="B2" s="53" t="str">
        <f>reused_label</f>
        <v>Reused</v>
      </c>
      <c r="C2" s="53" t="str">
        <f>returned_label</f>
        <v>Returned</v>
      </c>
      <c r="D2" s="53" t="str">
        <f>rehomed_label</f>
        <v>Rehomed</v>
      </c>
    </row>
    <row r="3" spans="1:6" ht="15.4" hidden="1" customHeight="1" x14ac:dyDescent="0.45">
      <c r="A3" s="11" t="s">
        <v>179</v>
      </c>
      <c r="B3" s="11" t="s">
        <v>315</v>
      </c>
      <c r="C3" s="11" t="s">
        <v>316</v>
      </c>
      <c r="D3" s="11" t="s">
        <v>317</v>
      </c>
    </row>
    <row r="4" spans="1:6" x14ac:dyDescent="0.45">
      <c r="A4" s="10"/>
      <c r="B4" s="2"/>
      <c r="C4" s="2"/>
      <c r="D4" s="2"/>
      <c r="E4" s="50" t="str">
        <f>IF(AND(fate_of_animals[[#This Row],[xs:species]]&lt;&gt;"",SUM(fate_of_animals[[#This Row],[xs:reused]:[xs:rehomed]])=0),total_number_mssg,IF(AND(fate_of_animals[[#This Row],[xs:species]]="",SUM(fate_of_animals[[#This Row],[xs:reused]:[xs:rehomed]])&gt;0),select_species_mssg,""))</f>
        <v/>
      </c>
      <c r="F4" s="50" t="str">
        <f>IF(AND(fate_of_animals[[#This Row],[xs:species]]&lt;&gt;"",OR(fate_of_animals[[#This Row],[xs:reused]]="",fate_of_animals[[#This Row],[xs:returned]]="",fate_of_animals[[#This Row],[xs:rehomed]]="")),fill_all_cells_mssg,"")</f>
        <v/>
      </c>
    </row>
    <row r="5" spans="1:6" x14ac:dyDescent="0.45">
      <c r="A5" s="10"/>
      <c r="B5" s="2"/>
      <c r="C5" s="2"/>
      <c r="D5" s="2"/>
      <c r="E5" s="50" t="str">
        <f>IF(AND(fate_of_animals[[#This Row],[xs:species]]&lt;&gt;"",SUM(fate_of_animals[[#This Row],[xs:reused]:[xs:rehomed]])=0),total_number_mssg,IF(AND(fate_of_animals[[#This Row],[xs:species]]="",SUM(fate_of_animals[[#This Row],[xs:reused]:[xs:rehomed]])&gt;0),select_species_mssg,""))</f>
        <v/>
      </c>
      <c r="F5" s="50" t="str">
        <f>IF(AND(fate_of_animals[[#This Row],[xs:species]]&lt;&gt;"",OR(fate_of_animals[[#This Row],[xs:reused]]="",fate_of_animals[[#This Row],[xs:returned]]="",fate_of_animals[[#This Row],[xs:rehomed]]="")),fill_all_cells_mssg,"")</f>
        <v/>
      </c>
    </row>
    <row r="6" spans="1:6" x14ac:dyDescent="0.45">
      <c r="A6" s="10"/>
      <c r="B6" s="2"/>
      <c r="C6" s="2"/>
      <c r="D6" s="2"/>
      <c r="E6" s="50" t="str">
        <f>IF(AND(fate_of_animals[[#This Row],[xs:species]]&lt;&gt;"",SUM(fate_of_animals[[#This Row],[xs:reused]:[xs:rehomed]])=0),total_number_mssg,IF(AND(fate_of_animals[[#This Row],[xs:species]]="",SUM(fate_of_animals[[#This Row],[xs:reused]:[xs:rehomed]])&gt;0),select_species_mssg,""))</f>
        <v/>
      </c>
      <c r="F6" s="50" t="str">
        <f>IF(AND(fate_of_animals[[#This Row],[xs:species]]&lt;&gt;"",OR(fate_of_animals[[#This Row],[xs:reused]]="",fate_of_animals[[#This Row],[xs:returned]]="",fate_of_animals[[#This Row],[xs:rehomed]]="")),fill_all_cells_mssg,"")</f>
        <v/>
      </c>
    </row>
    <row r="7" spans="1:6" x14ac:dyDescent="0.45">
      <c r="A7" s="10"/>
      <c r="B7" s="2"/>
      <c r="C7" s="2"/>
      <c r="D7" s="2"/>
      <c r="E7" s="50" t="str">
        <f>IF(AND(fate_of_animals[[#This Row],[xs:species]]&lt;&gt;"",SUM(fate_of_animals[[#This Row],[xs:reused]:[xs:rehomed]])=0),total_number_mssg,IF(AND(fate_of_animals[[#This Row],[xs:species]]="",SUM(fate_of_animals[[#This Row],[xs:reused]:[xs:rehomed]])&gt;0),select_species_mssg,""))</f>
        <v/>
      </c>
      <c r="F7" s="50" t="str">
        <f>IF(AND(fate_of_animals[[#This Row],[xs:species]]&lt;&gt;"",OR(fate_of_animals[[#This Row],[xs:reused]]="",fate_of_animals[[#This Row],[xs:returned]]="",fate_of_animals[[#This Row],[xs:rehomed]]="")),fill_all_cells_mssg,"")</f>
        <v/>
      </c>
    </row>
    <row r="8" spans="1:6" x14ac:dyDescent="0.45">
      <c r="A8" s="10"/>
      <c r="B8" s="2"/>
      <c r="C8" s="2"/>
      <c r="D8" s="2"/>
      <c r="E8" s="50" t="str">
        <f>IF(AND(fate_of_animals[[#This Row],[xs:species]]&lt;&gt;"",SUM(fate_of_animals[[#This Row],[xs:reused]:[xs:rehomed]])=0),total_number_mssg,IF(AND(fate_of_animals[[#This Row],[xs:species]]="",SUM(fate_of_animals[[#This Row],[xs:reused]:[xs:rehomed]])&gt;0),select_species_mssg,""))</f>
        <v/>
      </c>
      <c r="F8" s="50" t="str">
        <f>IF(AND(fate_of_animals[[#This Row],[xs:species]]&lt;&gt;"",OR(fate_of_animals[[#This Row],[xs:reused]]="",fate_of_animals[[#This Row],[xs:returned]]="",fate_of_animals[[#This Row],[xs:rehomed]]="")),fill_all_cells_mssg,"")</f>
        <v/>
      </c>
    </row>
    <row r="9" spans="1:6" x14ac:dyDescent="0.45">
      <c r="A9" s="10"/>
      <c r="B9" s="2"/>
      <c r="C9" s="2"/>
      <c r="D9" s="2"/>
      <c r="E9" s="50" t="str">
        <f>IF(AND(fate_of_animals[[#This Row],[xs:species]]&lt;&gt;"",SUM(fate_of_animals[[#This Row],[xs:reused]:[xs:rehomed]])=0),total_number_mssg,IF(AND(fate_of_animals[[#This Row],[xs:species]]="",SUM(fate_of_animals[[#This Row],[xs:reused]:[xs:rehomed]])&gt;0),select_species_mssg,""))</f>
        <v/>
      </c>
      <c r="F9" s="50" t="str">
        <f>IF(AND(fate_of_animals[[#This Row],[xs:species]]&lt;&gt;"",OR(fate_of_animals[[#This Row],[xs:reused]]="",fate_of_animals[[#This Row],[xs:returned]]="",fate_of_animals[[#This Row],[xs:rehomed]]="")),fill_all_cells_mssg,"")</f>
        <v/>
      </c>
    </row>
    <row r="10" spans="1:6" x14ac:dyDescent="0.45">
      <c r="A10" s="10"/>
      <c r="B10" s="2"/>
      <c r="C10" s="2"/>
      <c r="D10" s="2"/>
      <c r="E10" s="50" t="str">
        <f>IF(AND(fate_of_animals[[#This Row],[xs:species]]&lt;&gt;"",SUM(fate_of_animals[[#This Row],[xs:reused]:[xs:rehomed]])=0),total_number_mssg,IF(AND(fate_of_animals[[#This Row],[xs:species]]="",SUM(fate_of_animals[[#This Row],[xs:reused]:[xs:rehomed]])&gt;0),select_species_mssg,""))</f>
        <v/>
      </c>
      <c r="F10" s="50" t="str">
        <f>IF(AND(fate_of_animals[[#This Row],[xs:species]]&lt;&gt;"",OR(fate_of_animals[[#This Row],[xs:reused]]="",fate_of_animals[[#This Row],[xs:returned]]="",fate_of_animals[[#This Row],[xs:rehomed]]="")),fill_all_cells_mssg,"")</f>
        <v/>
      </c>
    </row>
    <row r="11" spans="1:6" x14ac:dyDescent="0.45">
      <c r="A11" s="10"/>
      <c r="B11" s="2"/>
      <c r="C11" s="2"/>
      <c r="D11" s="2"/>
      <c r="E11" s="50" t="str">
        <f>IF(AND(fate_of_animals[[#This Row],[xs:species]]&lt;&gt;"",SUM(fate_of_animals[[#This Row],[xs:reused]:[xs:rehomed]])=0),total_number_mssg,IF(AND(fate_of_animals[[#This Row],[xs:species]]="",SUM(fate_of_animals[[#This Row],[xs:reused]:[xs:rehomed]])&gt;0),select_species_mssg,""))</f>
        <v/>
      </c>
      <c r="F11" s="50" t="str">
        <f>IF(AND(fate_of_animals[[#This Row],[xs:species]]&lt;&gt;"",OR(fate_of_animals[[#This Row],[xs:reused]]="",fate_of_animals[[#This Row],[xs:returned]]="",fate_of_animals[[#This Row],[xs:rehomed]]="")),fill_all_cells_mssg,"")</f>
        <v/>
      </c>
    </row>
    <row r="12" spans="1:6" x14ac:dyDescent="0.45">
      <c r="A12" s="10"/>
      <c r="B12" s="2"/>
      <c r="C12" s="2"/>
      <c r="D12" s="2"/>
      <c r="E12" s="50" t="str">
        <f>IF(AND(fate_of_animals[[#This Row],[xs:species]]&lt;&gt;"",SUM(fate_of_animals[[#This Row],[xs:reused]:[xs:rehomed]])=0),total_number_mssg,IF(AND(fate_of_animals[[#This Row],[xs:species]]="",SUM(fate_of_animals[[#This Row],[xs:reused]:[xs:rehomed]])&gt;0),select_species_mssg,""))</f>
        <v/>
      </c>
      <c r="F12" s="50" t="str">
        <f>IF(AND(fate_of_animals[[#This Row],[xs:species]]&lt;&gt;"",OR(fate_of_animals[[#This Row],[xs:reused]]="",fate_of_animals[[#This Row],[xs:returned]]="",fate_of_animals[[#This Row],[xs:rehomed]]="")),fill_all_cells_mssg,"")</f>
        <v/>
      </c>
    </row>
    <row r="13" spans="1:6" x14ac:dyDescent="0.45">
      <c r="A13" s="10"/>
      <c r="B13" s="2"/>
      <c r="C13" s="2"/>
      <c r="D13" s="2"/>
      <c r="E13" s="50" t="str">
        <f>IF(AND(fate_of_animals[[#This Row],[xs:species]]&lt;&gt;"",SUM(fate_of_animals[[#This Row],[xs:reused]:[xs:rehomed]])=0),total_number_mssg,IF(AND(fate_of_animals[[#This Row],[xs:species]]="",SUM(fate_of_animals[[#This Row],[xs:reused]:[xs:rehomed]])&gt;0),select_species_mssg,""))</f>
        <v/>
      </c>
      <c r="F13" s="50" t="str">
        <f>IF(AND(fate_of_animals[[#This Row],[xs:species]]&lt;&gt;"",OR(fate_of_animals[[#This Row],[xs:reused]]="",fate_of_animals[[#This Row],[xs:returned]]="",fate_of_animals[[#This Row],[xs:rehomed]]="")),fill_all_cells_mssg,"")</f>
        <v/>
      </c>
    </row>
    <row r="14" spans="1:6" x14ac:dyDescent="0.45">
      <c r="A14" s="10"/>
      <c r="B14" s="2"/>
      <c r="C14" s="2"/>
      <c r="D14" s="2"/>
      <c r="E14" s="50" t="str">
        <f>IF(AND(fate_of_animals[[#This Row],[xs:species]]&lt;&gt;"",SUM(fate_of_animals[[#This Row],[xs:reused]:[xs:rehomed]])=0),total_number_mssg,IF(AND(fate_of_animals[[#This Row],[xs:species]]="",SUM(fate_of_animals[[#This Row],[xs:reused]:[xs:rehomed]])&gt;0),select_species_mssg,""))</f>
        <v/>
      </c>
      <c r="F14" s="50" t="str">
        <f>IF(AND(fate_of_animals[[#This Row],[xs:species]]&lt;&gt;"",OR(fate_of_animals[[#This Row],[xs:reused]]="",fate_of_animals[[#This Row],[xs:returned]]="",fate_of_animals[[#This Row],[xs:rehomed]]="")),fill_all_cells_mssg,"")</f>
        <v/>
      </c>
    </row>
    <row r="15" spans="1:6" x14ac:dyDescent="0.45">
      <c r="A15" s="10"/>
      <c r="B15" s="2"/>
      <c r="C15" s="2"/>
      <c r="D15" s="2"/>
      <c r="E15" s="50" t="str">
        <f>IF(AND(fate_of_animals[[#This Row],[xs:species]]&lt;&gt;"",SUM(fate_of_animals[[#This Row],[xs:reused]:[xs:rehomed]])=0),total_number_mssg,IF(AND(fate_of_animals[[#This Row],[xs:species]]="",SUM(fate_of_animals[[#This Row],[xs:reused]:[xs:rehomed]])&gt;0),select_species_mssg,""))</f>
        <v/>
      </c>
      <c r="F15" s="50" t="str">
        <f>IF(AND(fate_of_animals[[#This Row],[xs:species]]&lt;&gt;"",OR(fate_of_animals[[#This Row],[xs:reused]]="",fate_of_animals[[#This Row],[xs:returned]]="",fate_of_animals[[#This Row],[xs:rehomed]]="")),fill_all_cells_mssg,"")</f>
        <v/>
      </c>
    </row>
    <row r="16" spans="1:6" x14ac:dyDescent="0.45">
      <c r="A16" s="10"/>
      <c r="B16" s="2"/>
      <c r="C16" s="2"/>
      <c r="D16" s="2"/>
      <c r="E16" s="50" t="str">
        <f>IF(AND(fate_of_animals[[#This Row],[xs:species]]&lt;&gt;"",SUM(fate_of_animals[[#This Row],[xs:reused]:[xs:rehomed]])=0),total_number_mssg,IF(AND(fate_of_animals[[#This Row],[xs:species]]="",SUM(fate_of_animals[[#This Row],[xs:reused]:[xs:rehomed]])&gt;0),select_species_mssg,""))</f>
        <v/>
      </c>
      <c r="F16" s="50" t="str">
        <f>IF(AND(fate_of_animals[[#This Row],[xs:species]]&lt;&gt;"",OR(fate_of_animals[[#This Row],[xs:reused]]="",fate_of_animals[[#This Row],[xs:returned]]="",fate_of_animals[[#This Row],[xs:rehomed]]="")),fill_all_cells_mssg,"")</f>
        <v/>
      </c>
    </row>
    <row r="17" spans="1:6" x14ac:dyDescent="0.45">
      <c r="A17" s="10"/>
      <c r="B17" s="2"/>
      <c r="C17" s="2"/>
      <c r="D17" s="2"/>
      <c r="E17" s="50" t="str">
        <f>IF(AND(fate_of_animals[[#This Row],[xs:species]]&lt;&gt;"",SUM(fate_of_animals[[#This Row],[xs:reused]:[xs:rehomed]])=0),total_number_mssg,IF(AND(fate_of_animals[[#This Row],[xs:species]]="",SUM(fate_of_animals[[#This Row],[xs:reused]:[xs:rehomed]])&gt;0),select_species_mssg,""))</f>
        <v/>
      </c>
      <c r="F17" s="50" t="str">
        <f>IF(AND(fate_of_animals[[#This Row],[xs:species]]&lt;&gt;"",OR(fate_of_animals[[#This Row],[xs:reused]]="",fate_of_animals[[#This Row],[xs:returned]]="",fate_of_animals[[#This Row],[xs:rehomed]]="")),fill_all_cells_mssg,"")</f>
        <v/>
      </c>
    </row>
    <row r="18" spans="1:6" x14ac:dyDescent="0.45">
      <c r="A18" s="10"/>
      <c r="B18" s="2"/>
      <c r="C18" s="2"/>
      <c r="D18" s="2"/>
      <c r="E18" s="50" t="str">
        <f>IF(AND(fate_of_animals[[#This Row],[xs:species]]&lt;&gt;"",SUM(fate_of_animals[[#This Row],[xs:reused]:[xs:rehomed]])=0),total_number_mssg,IF(AND(fate_of_animals[[#This Row],[xs:species]]="",SUM(fate_of_animals[[#This Row],[xs:reused]:[xs:rehomed]])&gt;0),select_species_mssg,""))</f>
        <v/>
      </c>
      <c r="F18" s="50" t="str">
        <f>IF(AND(fate_of_animals[[#This Row],[xs:species]]&lt;&gt;"",OR(fate_of_animals[[#This Row],[xs:reused]]="",fate_of_animals[[#This Row],[xs:returned]]="",fate_of_animals[[#This Row],[xs:rehomed]]="")),fill_all_cells_mssg,"")</f>
        <v/>
      </c>
    </row>
    <row r="19" spans="1:6" x14ac:dyDescent="0.45">
      <c r="A19" s="10"/>
      <c r="B19" s="2"/>
      <c r="C19" s="2"/>
      <c r="D19" s="2"/>
      <c r="E19" s="50" t="str">
        <f>IF(AND(fate_of_animals[[#This Row],[xs:species]]&lt;&gt;"",SUM(fate_of_animals[[#This Row],[xs:reused]:[xs:rehomed]])=0),total_number_mssg,IF(AND(fate_of_animals[[#This Row],[xs:species]]="",SUM(fate_of_animals[[#This Row],[xs:reused]:[xs:rehomed]])&gt;0),select_species_mssg,""))</f>
        <v/>
      </c>
      <c r="F19" s="50" t="str">
        <f>IF(AND(fate_of_animals[[#This Row],[xs:species]]&lt;&gt;"",OR(fate_of_animals[[#This Row],[xs:reused]]="",fate_of_animals[[#This Row],[xs:returned]]="",fate_of_animals[[#This Row],[xs:rehomed]]="")),fill_all_cells_mssg,"")</f>
        <v/>
      </c>
    </row>
    <row r="20" spans="1:6" x14ac:dyDescent="0.45">
      <c r="A20" s="10"/>
      <c r="B20" s="2"/>
      <c r="C20" s="2"/>
      <c r="D20" s="2"/>
      <c r="E20" s="50" t="str">
        <f>IF(AND(fate_of_animals[[#This Row],[xs:species]]&lt;&gt;"",SUM(fate_of_animals[[#This Row],[xs:reused]:[xs:rehomed]])=0),total_number_mssg,IF(AND(fate_of_animals[[#This Row],[xs:species]]="",SUM(fate_of_animals[[#This Row],[xs:reused]:[xs:rehomed]])&gt;0),select_species_mssg,""))</f>
        <v/>
      </c>
      <c r="F20" s="50" t="str">
        <f>IF(AND(fate_of_animals[[#This Row],[xs:species]]&lt;&gt;"",OR(fate_of_animals[[#This Row],[xs:reused]]="",fate_of_animals[[#This Row],[xs:returned]]="",fate_of_animals[[#This Row],[xs:rehomed]]="")),fill_all_cells_mssg,"")</f>
        <v/>
      </c>
    </row>
    <row r="21" spans="1:6" x14ac:dyDescent="0.45">
      <c r="A21" s="10"/>
      <c r="B21" s="2"/>
      <c r="C21" s="2"/>
      <c r="D21" s="2"/>
      <c r="E21" s="50" t="str">
        <f>IF(AND(fate_of_animals[[#This Row],[xs:species]]&lt;&gt;"",SUM(fate_of_animals[[#This Row],[xs:reused]:[xs:rehomed]])=0),total_number_mssg,IF(AND(fate_of_animals[[#This Row],[xs:species]]="",SUM(fate_of_animals[[#This Row],[xs:reused]:[xs:rehomed]])&gt;0),select_species_mssg,""))</f>
        <v/>
      </c>
      <c r="F21" s="50" t="str">
        <f>IF(AND(fate_of_animals[[#This Row],[xs:species]]&lt;&gt;"",OR(fate_of_animals[[#This Row],[xs:reused]]="",fate_of_animals[[#This Row],[xs:returned]]="",fate_of_animals[[#This Row],[xs:rehomed]]="")),fill_all_cells_mssg,"")</f>
        <v/>
      </c>
    </row>
    <row r="22" spans="1:6" x14ac:dyDescent="0.45">
      <c r="A22" s="10"/>
      <c r="B22" s="2"/>
      <c r="C22" s="2"/>
      <c r="D22" s="2"/>
      <c r="E22" s="50" t="str">
        <f>IF(AND(fate_of_animals[[#This Row],[xs:species]]&lt;&gt;"",SUM(fate_of_animals[[#This Row],[xs:reused]:[xs:rehomed]])=0),total_number_mssg,IF(AND(fate_of_animals[[#This Row],[xs:species]]="",SUM(fate_of_animals[[#This Row],[xs:reused]:[xs:rehomed]])&gt;0),select_species_mssg,""))</f>
        <v/>
      </c>
      <c r="F22" s="50" t="str">
        <f>IF(AND(fate_of_animals[[#This Row],[xs:species]]&lt;&gt;"",OR(fate_of_animals[[#This Row],[xs:reused]]="",fate_of_animals[[#This Row],[xs:returned]]="",fate_of_animals[[#This Row],[xs:rehomed]]="")),fill_all_cells_mssg,"")</f>
        <v/>
      </c>
    </row>
    <row r="23" spans="1:6" x14ac:dyDescent="0.45">
      <c r="A23" s="10"/>
      <c r="B23" s="2"/>
      <c r="C23" s="2"/>
      <c r="D23" s="2"/>
      <c r="E23" s="50" t="str">
        <f>IF(AND(fate_of_animals[[#This Row],[xs:species]]&lt;&gt;"",SUM(fate_of_animals[[#This Row],[xs:reused]:[xs:rehomed]])=0),total_number_mssg,IF(AND(fate_of_animals[[#This Row],[xs:species]]="",SUM(fate_of_animals[[#This Row],[xs:reused]:[xs:rehomed]])&gt;0),select_species_mssg,""))</f>
        <v/>
      </c>
      <c r="F23" s="50" t="str">
        <f>IF(AND(fate_of_animals[[#This Row],[xs:species]]&lt;&gt;"",OR(fate_of_animals[[#This Row],[xs:reused]]="",fate_of_animals[[#This Row],[xs:returned]]="",fate_of_animals[[#This Row],[xs:rehomed]]="")),fill_all_cells_mssg,"")</f>
        <v/>
      </c>
    </row>
    <row r="24" spans="1:6" x14ac:dyDescent="0.45">
      <c r="A24" s="10"/>
      <c r="B24" s="2"/>
      <c r="C24" s="2"/>
      <c r="D24" s="2"/>
      <c r="E24" s="50" t="str">
        <f>IF(AND(fate_of_animals[[#This Row],[xs:species]]&lt;&gt;"",SUM(fate_of_animals[[#This Row],[xs:reused]:[xs:rehomed]])=0),total_number_mssg,IF(AND(fate_of_animals[[#This Row],[xs:species]]="",SUM(fate_of_animals[[#This Row],[xs:reused]:[xs:rehomed]])&gt;0),select_species_mssg,""))</f>
        <v/>
      </c>
      <c r="F24" s="50" t="str">
        <f>IF(AND(fate_of_animals[[#This Row],[xs:species]]&lt;&gt;"",OR(fate_of_animals[[#This Row],[xs:reused]]="",fate_of_animals[[#This Row],[xs:returned]]="",fate_of_animals[[#This Row],[xs:rehomed]]="")),fill_all_cells_mssg,"")</f>
        <v/>
      </c>
    </row>
    <row r="25" spans="1:6" x14ac:dyDescent="0.45">
      <c r="A25" s="10"/>
      <c r="B25" s="2"/>
      <c r="C25" s="2"/>
      <c r="D25" s="2"/>
      <c r="E25" s="50" t="str">
        <f>IF(AND(fate_of_animals[[#This Row],[xs:species]]&lt;&gt;"",SUM(fate_of_animals[[#This Row],[xs:reused]:[xs:rehomed]])=0),total_number_mssg,IF(AND(fate_of_animals[[#This Row],[xs:species]]="",SUM(fate_of_animals[[#This Row],[xs:reused]:[xs:rehomed]])&gt;0),select_species_mssg,""))</f>
        <v/>
      </c>
      <c r="F25" s="50" t="str">
        <f>IF(AND(fate_of_animals[[#This Row],[xs:species]]&lt;&gt;"",OR(fate_of_animals[[#This Row],[xs:reused]]="",fate_of_animals[[#This Row],[xs:returned]]="",fate_of_animals[[#This Row],[xs:rehomed]]="")),fill_all_cells_mssg,"")</f>
        <v/>
      </c>
    </row>
    <row r="26" spans="1:6" x14ac:dyDescent="0.45">
      <c r="A26" s="10"/>
      <c r="B26" s="2"/>
      <c r="C26" s="2"/>
      <c r="D26" s="2"/>
      <c r="E26" s="50" t="str">
        <f>IF(AND(fate_of_animals[[#This Row],[xs:species]]&lt;&gt;"",SUM(fate_of_animals[[#This Row],[xs:reused]:[xs:rehomed]])=0),total_number_mssg,IF(AND(fate_of_animals[[#This Row],[xs:species]]="",SUM(fate_of_animals[[#This Row],[xs:reused]:[xs:rehomed]])&gt;0),select_species_mssg,""))</f>
        <v/>
      </c>
      <c r="F26" s="50" t="str">
        <f>IF(AND(fate_of_animals[[#This Row],[xs:species]]&lt;&gt;"",OR(fate_of_animals[[#This Row],[xs:reused]]="",fate_of_animals[[#This Row],[xs:returned]]="",fate_of_animals[[#This Row],[xs:rehomed]]="")),fill_all_cells_mssg,"")</f>
        <v/>
      </c>
    </row>
    <row r="27" spans="1:6" x14ac:dyDescent="0.45">
      <c r="A27" s="10"/>
      <c r="B27" s="2"/>
      <c r="C27" s="2"/>
      <c r="D27" s="2"/>
      <c r="E27" s="50" t="str">
        <f>IF(AND(fate_of_animals[[#This Row],[xs:species]]&lt;&gt;"",SUM(fate_of_animals[[#This Row],[xs:reused]:[xs:rehomed]])=0),total_number_mssg,IF(AND(fate_of_animals[[#This Row],[xs:species]]="",SUM(fate_of_animals[[#This Row],[xs:reused]:[xs:rehomed]])&gt;0),select_species_mssg,""))</f>
        <v/>
      </c>
      <c r="F27" s="50" t="str">
        <f>IF(AND(fate_of_animals[[#This Row],[xs:species]]&lt;&gt;"",OR(fate_of_animals[[#This Row],[xs:reused]]="",fate_of_animals[[#This Row],[xs:returned]]="",fate_of_animals[[#This Row],[xs:rehomed]]="")),fill_all_cells_mssg,"")</f>
        <v/>
      </c>
    </row>
    <row r="28" spans="1:6" x14ac:dyDescent="0.45">
      <c r="A28" s="10"/>
      <c r="B28" s="2"/>
      <c r="C28" s="2"/>
      <c r="D28" s="2"/>
      <c r="E28" s="50" t="str">
        <f>IF(AND(fate_of_animals[[#This Row],[xs:species]]&lt;&gt;"",SUM(fate_of_animals[[#This Row],[xs:reused]:[xs:rehomed]])=0),total_number_mssg,IF(AND(fate_of_animals[[#This Row],[xs:species]]="",SUM(fate_of_animals[[#This Row],[xs:reused]:[xs:rehomed]])&gt;0),select_species_mssg,""))</f>
        <v/>
      </c>
      <c r="F28" s="50" t="str">
        <f>IF(AND(fate_of_animals[[#This Row],[xs:species]]&lt;&gt;"",OR(fate_of_animals[[#This Row],[xs:reused]]="",fate_of_animals[[#This Row],[xs:returned]]="",fate_of_animals[[#This Row],[xs:rehomed]]="")),fill_all_cells_mssg,"")</f>
        <v/>
      </c>
    </row>
    <row r="29" spans="1:6" x14ac:dyDescent="0.45">
      <c r="A29" s="10"/>
      <c r="B29" s="2"/>
      <c r="C29" s="2"/>
      <c r="D29" s="2"/>
      <c r="E29" s="50" t="str">
        <f>IF(AND(fate_of_animals[[#This Row],[xs:species]]&lt;&gt;"",SUM(fate_of_animals[[#This Row],[xs:reused]:[xs:rehomed]])=0),total_number_mssg,IF(AND(fate_of_animals[[#This Row],[xs:species]]="",SUM(fate_of_animals[[#This Row],[xs:reused]:[xs:rehomed]])&gt;0),select_species_mssg,""))</f>
        <v/>
      </c>
      <c r="F29" s="50" t="str">
        <f>IF(AND(fate_of_animals[[#This Row],[xs:species]]&lt;&gt;"",OR(fate_of_animals[[#This Row],[xs:reused]]="",fate_of_animals[[#This Row],[xs:returned]]="",fate_of_animals[[#This Row],[xs:rehomed]]="")),fill_all_cells_mssg,"")</f>
        <v/>
      </c>
    </row>
    <row r="30" spans="1:6" x14ac:dyDescent="0.45">
      <c r="A30" s="10"/>
      <c r="B30" s="2"/>
      <c r="C30" s="2"/>
      <c r="D30" s="2"/>
      <c r="E30" s="50" t="str">
        <f>IF(AND(fate_of_animals[[#This Row],[xs:species]]&lt;&gt;"",SUM(fate_of_animals[[#This Row],[xs:reused]:[xs:rehomed]])=0),total_number_mssg,IF(AND(fate_of_animals[[#This Row],[xs:species]]="",SUM(fate_of_animals[[#This Row],[xs:reused]:[xs:rehomed]])&gt;0),select_species_mssg,""))</f>
        <v/>
      </c>
      <c r="F30" s="50" t="str">
        <f>IF(AND(fate_of_animals[[#This Row],[xs:species]]&lt;&gt;"",OR(fate_of_animals[[#This Row],[xs:reused]]="",fate_of_animals[[#This Row],[xs:returned]]="",fate_of_animals[[#This Row],[xs:rehomed]]="")),fill_all_cells_mssg,"")</f>
        <v/>
      </c>
    </row>
    <row r="31" spans="1:6" x14ac:dyDescent="0.45">
      <c r="A31" s="10"/>
      <c r="B31" s="2"/>
      <c r="C31" s="2"/>
      <c r="D31" s="2"/>
      <c r="E31" s="50" t="str">
        <f>IF(AND(fate_of_animals[[#This Row],[xs:species]]&lt;&gt;"",SUM(fate_of_animals[[#This Row],[xs:reused]:[xs:rehomed]])=0),total_number_mssg,IF(AND(fate_of_animals[[#This Row],[xs:species]]="",SUM(fate_of_animals[[#This Row],[xs:reused]:[xs:rehomed]])&gt;0),select_species_mssg,""))</f>
        <v/>
      </c>
      <c r="F31" s="50" t="str">
        <f>IF(AND(fate_of_animals[[#This Row],[xs:species]]&lt;&gt;"",OR(fate_of_animals[[#This Row],[xs:reused]]="",fate_of_animals[[#This Row],[xs:returned]]="",fate_of_animals[[#This Row],[xs:rehomed]]="")),fill_all_cells_mssg,"")</f>
        <v/>
      </c>
    </row>
    <row r="32" spans="1:6" x14ac:dyDescent="0.45">
      <c r="A32" s="10"/>
      <c r="B32" s="2"/>
      <c r="C32" s="2"/>
      <c r="D32" s="2"/>
      <c r="E32" s="50" t="str">
        <f>IF(AND(fate_of_animals[[#This Row],[xs:species]]&lt;&gt;"",SUM(fate_of_animals[[#This Row],[xs:reused]:[xs:rehomed]])=0),total_number_mssg,IF(AND(fate_of_animals[[#This Row],[xs:species]]="",SUM(fate_of_animals[[#This Row],[xs:reused]:[xs:rehomed]])&gt;0),select_species_mssg,""))</f>
        <v/>
      </c>
      <c r="F32" s="50" t="str">
        <f>IF(AND(fate_of_animals[[#This Row],[xs:species]]&lt;&gt;"",OR(fate_of_animals[[#This Row],[xs:reused]]="",fate_of_animals[[#This Row],[xs:returned]]="",fate_of_animals[[#This Row],[xs:rehomed]]="")),fill_all_cells_mssg,"")</f>
        <v/>
      </c>
    </row>
    <row r="33" spans="1:6" x14ac:dyDescent="0.45">
      <c r="A33" s="10"/>
      <c r="B33" s="2"/>
      <c r="C33" s="2"/>
      <c r="D33" s="2"/>
      <c r="E33" s="50" t="str">
        <f>IF(AND(fate_of_animals[[#This Row],[xs:species]]&lt;&gt;"",SUM(fate_of_animals[[#This Row],[xs:reused]:[xs:rehomed]])=0),total_number_mssg,IF(AND(fate_of_animals[[#This Row],[xs:species]]="",SUM(fate_of_animals[[#This Row],[xs:reused]:[xs:rehomed]])&gt;0),select_species_mssg,""))</f>
        <v/>
      </c>
      <c r="F33" s="50" t="str">
        <f>IF(AND(fate_of_animals[[#This Row],[xs:species]]&lt;&gt;"",OR(fate_of_animals[[#This Row],[xs:reused]]="",fate_of_animals[[#This Row],[xs:returned]]="",fate_of_animals[[#This Row],[xs:rehomed]]="")),fill_all_cells_mssg,"")</f>
        <v/>
      </c>
    </row>
    <row r="34" spans="1:6" x14ac:dyDescent="0.45">
      <c r="A34" s="10"/>
      <c r="B34" s="2"/>
      <c r="C34" s="2"/>
      <c r="D34" s="2"/>
      <c r="E34" s="50" t="str">
        <f>IF(AND(fate_of_animals[[#This Row],[xs:species]]&lt;&gt;"",SUM(fate_of_animals[[#This Row],[xs:reused]:[xs:rehomed]])=0),total_number_mssg,IF(AND(fate_of_animals[[#This Row],[xs:species]]="",SUM(fate_of_animals[[#This Row],[xs:reused]:[xs:rehomed]])&gt;0),select_species_mssg,""))</f>
        <v/>
      </c>
      <c r="F34" s="50" t="str">
        <f>IF(AND(fate_of_animals[[#This Row],[xs:species]]&lt;&gt;"",OR(fate_of_animals[[#This Row],[xs:reused]]="",fate_of_animals[[#This Row],[xs:returned]]="",fate_of_animals[[#This Row],[xs:rehomed]]="")),fill_all_cells_mssg,"")</f>
        <v/>
      </c>
    </row>
    <row r="35" spans="1:6" x14ac:dyDescent="0.45">
      <c r="A35" s="10"/>
      <c r="B35" s="2"/>
      <c r="C35" s="2"/>
      <c r="D35" s="2"/>
      <c r="E35" s="50" t="str">
        <f>IF(AND(fate_of_animals[[#This Row],[xs:species]]&lt;&gt;"",SUM(fate_of_animals[[#This Row],[xs:reused]:[xs:rehomed]])=0),total_number_mssg,IF(AND(fate_of_animals[[#This Row],[xs:species]]="",SUM(fate_of_animals[[#This Row],[xs:reused]:[xs:rehomed]])&gt;0),select_species_mssg,""))</f>
        <v/>
      </c>
      <c r="F35" s="50" t="str">
        <f>IF(AND(fate_of_animals[[#This Row],[xs:species]]&lt;&gt;"",OR(fate_of_animals[[#This Row],[xs:reused]]="",fate_of_animals[[#This Row],[xs:returned]]="",fate_of_animals[[#This Row],[xs:rehomed]]="")),fill_all_cells_mssg,"")</f>
        <v/>
      </c>
    </row>
    <row r="36" spans="1:6" x14ac:dyDescent="0.45">
      <c r="A36" s="10"/>
      <c r="B36" s="2"/>
      <c r="C36" s="2"/>
      <c r="D36" s="2"/>
      <c r="E36" s="50" t="str">
        <f>IF(AND(fate_of_animals[[#This Row],[xs:species]]&lt;&gt;"",SUM(fate_of_animals[[#This Row],[xs:reused]:[xs:rehomed]])=0),total_number_mssg,IF(AND(fate_of_animals[[#This Row],[xs:species]]="",SUM(fate_of_animals[[#This Row],[xs:reused]:[xs:rehomed]])&gt;0),select_species_mssg,""))</f>
        <v/>
      </c>
      <c r="F36" s="50" t="str">
        <f>IF(AND(fate_of_animals[[#This Row],[xs:species]]&lt;&gt;"",OR(fate_of_animals[[#This Row],[xs:reused]]="",fate_of_animals[[#This Row],[xs:returned]]="",fate_of_animals[[#This Row],[xs:rehomed]]="")),fill_all_cells_mssg,"")</f>
        <v/>
      </c>
    </row>
    <row r="37" spans="1:6" x14ac:dyDescent="0.45">
      <c r="A37" s="10"/>
      <c r="B37" s="2"/>
      <c r="C37" s="2"/>
      <c r="D37" s="2"/>
      <c r="E37" s="50" t="str">
        <f>IF(AND(fate_of_animals[[#This Row],[xs:species]]&lt;&gt;"",SUM(fate_of_animals[[#This Row],[xs:reused]:[xs:rehomed]])=0),total_number_mssg,IF(AND(fate_of_animals[[#This Row],[xs:species]]="",SUM(fate_of_animals[[#This Row],[xs:reused]:[xs:rehomed]])&gt;0),select_species_mssg,""))</f>
        <v/>
      </c>
      <c r="F37" s="50" t="str">
        <f>IF(AND(fate_of_animals[[#This Row],[xs:species]]&lt;&gt;"",OR(fate_of_animals[[#This Row],[xs:reused]]="",fate_of_animals[[#This Row],[xs:returned]]="",fate_of_animals[[#This Row],[xs:rehomed]]="")),fill_all_cells_mssg,"")</f>
        <v/>
      </c>
    </row>
    <row r="38" spans="1:6" x14ac:dyDescent="0.45">
      <c r="A38" s="10"/>
      <c r="B38" s="2"/>
      <c r="C38" s="2"/>
      <c r="D38" s="2"/>
      <c r="E38" s="50" t="str">
        <f>IF(AND(fate_of_animals[[#This Row],[xs:species]]&lt;&gt;"",SUM(fate_of_animals[[#This Row],[xs:reused]:[xs:rehomed]])=0),total_number_mssg,IF(AND(fate_of_animals[[#This Row],[xs:species]]="",SUM(fate_of_animals[[#This Row],[xs:reused]:[xs:rehomed]])&gt;0),select_species_mssg,""))</f>
        <v/>
      </c>
      <c r="F38" s="50" t="str">
        <f>IF(AND(fate_of_animals[[#This Row],[xs:species]]&lt;&gt;"",OR(fate_of_animals[[#This Row],[xs:reused]]="",fate_of_animals[[#This Row],[xs:returned]]="",fate_of_animals[[#This Row],[xs:rehomed]]="")),fill_all_cells_mssg,"")</f>
        <v/>
      </c>
    </row>
    <row r="39" spans="1:6" x14ac:dyDescent="0.45">
      <c r="A39" s="10"/>
      <c r="B39" s="2"/>
      <c r="C39" s="2"/>
      <c r="D39" s="2"/>
      <c r="E39" s="50" t="str">
        <f>IF(AND(fate_of_animals[[#This Row],[xs:species]]&lt;&gt;"",SUM(fate_of_animals[[#This Row],[xs:reused]:[xs:rehomed]])=0),total_number_mssg,IF(AND(fate_of_animals[[#This Row],[xs:species]]="",SUM(fate_of_animals[[#This Row],[xs:reused]:[xs:rehomed]])&gt;0),select_species_mssg,""))</f>
        <v/>
      </c>
      <c r="F39" s="50" t="str">
        <f>IF(AND(fate_of_animals[[#This Row],[xs:species]]&lt;&gt;"",OR(fate_of_animals[[#This Row],[xs:reused]]="",fate_of_animals[[#This Row],[xs:returned]]="",fate_of_animals[[#This Row],[xs:rehomed]]="")),fill_all_cells_mssg,"")</f>
        <v/>
      </c>
    </row>
    <row r="40" spans="1:6" x14ac:dyDescent="0.45">
      <c r="A40" s="10"/>
      <c r="B40" s="2"/>
      <c r="C40" s="2"/>
      <c r="D40" s="2"/>
      <c r="E40" s="50" t="str">
        <f>IF(AND(fate_of_animals[[#This Row],[xs:species]]&lt;&gt;"",SUM(fate_of_animals[[#This Row],[xs:reused]:[xs:rehomed]])=0),total_number_mssg,IF(AND(fate_of_animals[[#This Row],[xs:species]]="",SUM(fate_of_animals[[#This Row],[xs:reused]:[xs:rehomed]])&gt;0),select_species_mssg,""))</f>
        <v/>
      </c>
      <c r="F40" s="50" t="str">
        <f>IF(AND(fate_of_animals[[#This Row],[xs:species]]&lt;&gt;"",OR(fate_of_animals[[#This Row],[xs:reused]]="",fate_of_animals[[#This Row],[xs:returned]]="",fate_of_animals[[#This Row],[xs:rehomed]]="")),fill_all_cells_mssg,"")</f>
        <v/>
      </c>
    </row>
    <row r="41" spans="1:6" x14ac:dyDescent="0.45">
      <c r="A41" s="10"/>
      <c r="B41" s="2"/>
      <c r="C41" s="2"/>
      <c r="D41" s="2"/>
      <c r="E41" s="50" t="str">
        <f>IF(AND(fate_of_animals[[#This Row],[xs:species]]&lt;&gt;"",SUM(fate_of_animals[[#This Row],[xs:reused]:[xs:rehomed]])=0),total_number_mssg,IF(AND(fate_of_animals[[#This Row],[xs:species]]="",SUM(fate_of_animals[[#This Row],[xs:reused]:[xs:rehomed]])&gt;0),select_species_mssg,""))</f>
        <v/>
      </c>
      <c r="F41" s="50" t="str">
        <f>IF(AND(fate_of_animals[[#This Row],[xs:species]]&lt;&gt;"",OR(fate_of_animals[[#This Row],[xs:reused]]="",fate_of_animals[[#This Row],[xs:returned]]="",fate_of_animals[[#This Row],[xs:rehomed]]="")),fill_all_cells_mssg,"")</f>
        <v/>
      </c>
    </row>
    <row r="42" spans="1:6" x14ac:dyDescent="0.45">
      <c r="A42" s="10"/>
      <c r="B42" s="2"/>
      <c r="C42" s="2"/>
      <c r="D42" s="2"/>
      <c r="E42" s="50" t="str">
        <f>IF(AND(fate_of_animals[[#This Row],[xs:species]]&lt;&gt;"",SUM(fate_of_animals[[#This Row],[xs:reused]:[xs:rehomed]])=0),total_number_mssg,IF(AND(fate_of_animals[[#This Row],[xs:species]]="",SUM(fate_of_animals[[#This Row],[xs:reused]:[xs:rehomed]])&gt;0),select_species_mssg,""))</f>
        <v/>
      </c>
      <c r="F42" s="50" t="str">
        <f>IF(AND(fate_of_animals[[#This Row],[xs:species]]&lt;&gt;"",OR(fate_of_animals[[#This Row],[xs:reused]]="",fate_of_animals[[#This Row],[xs:returned]]="",fate_of_animals[[#This Row],[xs:rehomed]]="")),fill_all_cells_mssg,"")</f>
        <v/>
      </c>
    </row>
  </sheetData>
  <sheetProtection sheet="1" selectLockedCells="1"/>
  <mergeCells count="1">
    <mergeCell ref="B1:D1"/>
  </mergeCells>
  <conditionalFormatting sqref="A4:A42">
    <cfRule type="duplicateValues" dxfId="8" priority="3"/>
  </conditionalFormatting>
  <conditionalFormatting sqref="E4:E42">
    <cfRule type="notContainsBlanks" dxfId="7" priority="2">
      <formula>LEN(TRIM(E4))&gt;0</formula>
    </cfRule>
  </conditionalFormatting>
  <conditionalFormatting sqref="F4:F42">
    <cfRule type="notContainsBlanks" dxfId="6" priority="1">
      <formula>LEN(TRIM(F4))&gt;0</formula>
    </cfRule>
  </conditionalFormatting>
  <dataValidations count="2">
    <dataValidation type="list" allowBlank="1" showInputMessage="1" showErrorMessage="1" sqref="A4:A42">
      <formula1>speciesShown</formula1>
    </dataValidation>
    <dataValidation type="whole" operator="greaterThanOrEqual" allowBlank="1" showInputMessage="1" showErrorMessage="1" sqref="B4:D42">
      <formula1>0</formula1>
    </dataValidation>
  </dataValidations>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C225"/>
  <sheetViews>
    <sheetView topLeftCell="A13" workbookViewId="0">
      <selection activeCell="D17" sqref="D17"/>
    </sheetView>
  </sheetViews>
  <sheetFormatPr defaultRowHeight="14.25" x14ac:dyDescent="0.45"/>
  <cols>
    <col min="1" max="1" width="26.265625" style="11" customWidth="1"/>
    <col min="2" max="2" width="26.73046875" style="11" customWidth="1"/>
    <col min="3" max="3" width="98.3984375" style="11" customWidth="1"/>
    <col min="4" max="4" width="9.33203125" customWidth="1"/>
    <col min="5" max="5" width="8.73046875" customWidth="1"/>
    <col min="6" max="6" width="8.59765625" customWidth="1"/>
    <col min="7" max="7" width="8.46484375" customWidth="1"/>
    <col min="9" max="9" width="9.06640625" style="11"/>
    <col min="11" max="11" width="15" customWidth="1"/>
  </cols>
  <sheetData>
    <row r="1" spans="1:28" ht="14.65" thickBot="1" x14ac:dyDescent="0.5"/>
    <row r="2" spans="1:28" s="1" customFormat="1" ht="14.65" thickBot="1" x14ac:dyDescent="0.5">
      <c r="A2" s="96" t="s">
        <v>497</v>
      </c>
      <c r="B2" s="97"/>
      <c r="C2" s="97"/>
      <c r="D2" s="85" t="s">
        <v>16</v>
      </c>
      <c r="E2" s="86" t="s">
        <v>17</v>
      </c>
      <c r="F2" s="86" t="s">
        <v>5</v>
      </c>
      <c r="G2" s="86" t="s">
        <v>3</v>
      </c>
      <c r="H2" s="86" t="s">
        <v>18</v>
      </c>
      <c r="I2" s="101" t="s">
        <v>0</v>
      </c>
      <c r="J2" s="86" t="s">
        <v>19</v>
      </c>
      <c r="K2" s="86" t="s">
        <v>20</v>
      </c>
      <c r="L2" s="86" t="s">
        <v>21</v>
      </c>
      <c r="M2" s="86" t="s">
        <v>2</v>
      </c>
      <c r="N2" s="86" t="s">
        <v>22</v>
      </c>
      <c r="O2" s="86" t="s">
        <v>1</v>
      </c>
      <c r="P2" s="86" t="s">
        <v>23</v>
      </c>
      <c r="Q2" s="86" t="s">
        <v>24</v>
      </c>
      <c r="R2" s="86" t="s">
        <v>25</v>
      </c>
      <c r="S2" s="86" t="s">
        <v>26</v>
      </c>
      <c r="T2" s="86" t="s">
        <v>27</v>
      </c>
      <c r="U2" s="86" t="s">
        <v>28</v>
      </c>
      <c r="V2" s="86" t="s">
        <v>29</v>
      </c>
      <c r="W2" s="86" t="s">
        <v>30</v>
      </c>
      <c r="X2" s="86" t="s">
        <v>31</v>
      </c>
      <c r="Y2" s="86" t="s">
        <v>32</v>
      </c>
      <c r="Z2" s="86" t="s">
        <v>33</v>
      </c>
      <c r="AA2" s="86" t="s">
        <v>34</v>
      </c>
      <c r="AB2" s="87" t="s">
        <v>13</v>
      </c>
    </row>
    <row r="3" spans="1:28" ht="14.65" thickBot="1" x14ac:dyDescent="0.5">
      <c r="D3" s="59"/>
      <c r="E3" s="59"/>
      <c r="F3" s="59"/>
      <c r="G3" s="59"/>
      <c r="H3" s="59"/>
      <c r="I3" s="92"/>
      <c r="J3" s="59"/>
      <c r="K3" s="59"/>
      <c r="L3" s="59"/>
      <c r="M3" s="59"/>
      <c r="N3" s="59"/>
      <c r="O3" s="59"/>
      <c r="P3" s="59"/>
      <c r="Q3" s="59"/>
      <c r="R3" s="59"/>
      <c r="S3" s="59"/>
      <c r="T3" s="59"/>
      <c r="U3" s="59"/>
      <c r="V3" s="59"/>
      <c r="W3" s="59"/>
      <c r="X3" s="59"/>
      <c r="Y3" s="59"/>
      <c r="Z3" s="59"/>
      <c r="AA3" s="59"/>
      <c r="AB3" s="59"/>
    </row>
    <row r="4" spans="1:28" x14ac:dyDescent="0.45">
      <c r="A4" s="97" t="s">
        <v>407</v>
      </c>
      <c r="B4" s="97" t="s">
        <v>406</v>
      </c>
      <c r="D4" s="15" t="str">
        <f t="shared" ref="D4:AB4" si="0">languages</f>
        <v>bg</v>
      </c>
      <c r="E4" s="16" t="str">
        <f t="shared" si="0"/>
        <v>cs</v>
      </c>
      <c r="F4" s="16" t="str">
        <f t="shared" si="0"/>
        <v>da</v>
      </c>
      <c r="G4" s="16" t="str">
        <f t="shared" si="0"/>
        <v>de</v>
      </c>
      <c r="H4" s="16" t="str">
        <f t="shared" si="0"/>
        <v>el</v>
      </c>
      <c r="I4" s="82" t="str">
        <f t="shared" si="0"/>
        <v>en</v>
      </c>
      <c r="J4" s="16" t="str">
        <f t="shared" si="0"/>
        <v>es</v>
      </c>
      <c r="K4" s="16" t="str">
        <f t="shared" si="0"/>
        <v>et</v>
      </c>
      <c r="L4" s="16" t="str">
        <f t="shared" si="0"/>
        <v>fi</v>
      </c>
      <c r="M4" s="16" t="str">
        <f t="shared" si="0"/>
        <v>fr</v>
      </c>
      <c r="N4" s="16" t="str">
        <f t="shared" si="0"/>
        <v>ga</v>
      </c>
      <c r="O4" s="16" t="str">
        <f t="shared" si="0"/>
        <v>hr</v>
      </c>
      <c r="P4" s="16" t="str">
        <f t="shared" si="0"/>
        <v>hu</v>
      </c>
      <c r="Q4" s="16" t="str">
        <f t="shared" si="0"/>
        <v>it</v>
      </c>
      <c r="R4" s="16" t="str">
        <f t="shared" si="0"/>
        <v>lt</v>
      </c>
      <c r="S4" s="16" t="str">
        <f t="shared" si="0"/>
        <v>lv</v>
      </c>
      <c r="T4" s="16" t="str">
        <f t="shared" si="0"/>
        <v>mt</v>
      </c>
      <c r="U4" s="16" t="str">
        <f t="shared" si="0"/>
        <v>nl</v>
      </c>
      <c r="V4" s="16" t="str">
        <f t="shared" si="0"/>
        <v>pl</v>
      </c>
      <c r="W4" s="16" t="str">
        <f t="shared" si="0"/>
        <v>pt</v>
      </c>
      <c r="X4" s="16" t="str">
        <f t="shared" si="0"/>
        <v>ro</v>
      </c>
      <c r="Y4" s="16" t="str">
        <f t="shared" si="0"/>
        <v>sk</v>
      </c>
      <c r="Z4" s="16" t="str">
        <f t="shared" si="0"/>
        <v>sl</v>
      </c>
      <c r="AA4" s="16" t="str">
        <f t="shared" si="0"/>
        <v>sv</v>
      </c>
      <c r="AB4" s="17" t="str">
        <f t="shared" si="0"/>
        <v>no</v>
      </c>
    </row>
    <row r="5" spans="1:28" x14ac:dyDescent="0.45">
      <c r="A5" s="92" t="s">
        <v>475</v>
      </c>
      <c r="B5" s="11" t="str">
        <f t="shared" ref="B5:B14" si="1">IF(TRIM(HLOOKUP(language_or_default,purposeCategoryTranslations,MATCH(A5,purposeCategories,0),FALSE))="",HLOOKUP("en",purposeCategoryTranslations,MATCH(A5,purposeCategories,0),FALSE),HLOOKUP(language_or_default,purposeCategoryTranslations,MATCH(A5,purposeCategories,0),FALSE))</f>
        <v>Basic research</v>
      </c>
      <c r="D5" s="58"/>
      <c r="E5" s="59"/>
      <c r="F5" s="59"/>
      <c r="G5" s="59"/>
      <c r="H5" s="59"/>
      <c r="I5" s="92" t="s">
        <v>91</v>
      </c>
      <c r="J5" s="59"/>
      <c r="K5" s="59"/>
      <c r="L5" s="59"/>
      <c r="M5" s="59"/>
      <c r="N5" s="59"/>
      <c r="O5" s="59"/>
      <c r="P5" s="59"/>
      <c r="Q5" s="59"/>
      <c r="R5" s="59"/>
      <c r="S5" s="59"/>
      <c r="T5" s="59"/>
      <c r="U5" s="59"/>
      <c r="V5" s="59"/>
      <c r="W5" s="59"/>
      <c r="X5" s="59"/>
      <c r="Y5" s="59"/>
      <c r="Z5" s="59"/>
      <c r="AA5" s="59"/>
      <c r="AB5" s="60"/>
    </row>
    <row r="6" spans="1:28" x14ac:dyDescent="0.45">
      <c r="A6" s="92" t="s">
        <v>57</v>
      </c>
      <c r="B6" s="11" t="str">
        <f t="shared" si="1"/>
        <v>Translational and applied research</v>
      </c>
      <c r="D6" s="58"/>
      <c r="E6" s="59"/>
      <c r="F6" s="59"/>
      <c r="G6" s="59"/>
      <c r="H6" s="59"/>
      <c r="I6" s="92" t="s">
        <v>92</v>
      </c>
      <c r="J6" s="59"/>
      <c r="K6" s="59"/>
      <c r="L6" s="59"/>
      <c r="M6" s="59"/>
      <c r="N6" s="59"/>
      <c r="O6" s="59"/>
      <c r="P6" s="59"/>
      <c r="Q6" s="59"/>
      <c r="R6" s="59"/>
      <c r="S6" s="59"/>
      <c r="T6" s="59"/>
      <c r="U6" s="59"/>
      <c r="V6" s="59"/>
      <c r="W6" s="59"/>
      <c r="X6" s="59"/>
      <c r="Y6" s="59"/>
      <c r="Z6" s="59"/>
      <c r="AA6" s="59"/>
      <c r="AB6" s="60"/>
    </row>
    <row r="7" spans="1:28" x14ac:dyDescent="0.45">
      <c r="A7" s="92" t="s">
        <v>476</v>
      </c>
      <c r="B7" s="11" t="str">
        <f t="shared" si="1"/>
        <v>Regulatory use and routine production</v>
      </c>
      <c r="D7" s="58"/>
      <c r="E7" s="59"/>
      <c r="F7" s="59"/>
      <c r="G7" s="59"/>
      <c r="H7" s="59"/>
      <c r="I7" s="92" t="s">
        <v>403</v>
      </c>
      <c r="J7" s="59"/>
      <c r="K7" s="59"/>
      <c r="L7" s="59"/>
      <c r="M7" s="59"/>
      <c r="N7" s="59"/>
      <c r="O7" s="59"/>
      <c r="P7" s="59"/>
      <c r="Q7" s="59"/>
      <c r="R7" s="59"/>
      <c r="S7" s="59"/>
      <c r="T7" s="59"/>
      <c r="U7" s="59"/>
      <c r="V7" s="59"/>
      <c r="W7" s="59"/>
      <c r="X7" s="59"/>
      <c r="Y7" s="59"/>
      <c r="Z7" s="59"/>
      <c r="AA7" s="59"/>
      <c r="AB7" s="60"/>
    </row>
    <row r="8" spans="1:28" x14ac:dyDescent="0.45">
      <c r="A8" s="92" t="s">
        <v>485</v>
      </c>
      <c r="B8" s="11" t="str">
        <f t="shared" si="1"/>
        <v>Protection of the natural environment in the interests of the health or welfare of human beings or animals</v>
      </c>
      <c r="D8" s="58"/>
      <c r="E8" s="59"/>
      <c r="F8" s="59"/>
      <c r="G8" s="59"/>
      <c r="H8" s="59"/>
      <c r="I8" s="92" t="s">
        <v>97</v>
      </c>
      <c r="J8" s="59"/>
      <c r="K8" s="59"/>
      <c r="L8" s="59"/>
      <c r="M8" s="59"/>
      <c r="N8" s="59"/>
      <c r="O8" s="59"/>
      <c r="P8" s="59"/>
      <c r="Q8" s="59"/>
      <c r="R8" s="59"/>
      <c r="S8" s="59"/>
      <c r="T8" s="59"/>
      <c r="U8" s="59"/>
      <c r="V8" s="59"/>
      <c r="W8" s="59"/>
      <c r="X8" s="59"/>
      <c r="Y8" s="59"/>
      <c r="Z8" s="59"/>
      <c r="AA8" s="59"/>
      <c r="AB8" s="60"/>
    </row>
    <row r="9" spans="1:28" x14ac:dyDescent="0.45">
      <c r="A9" s="92" t="s">
        <v>486</v>
      </c>
      <c r="B9" s="11" t="str">
        <f t="shared" si="1"/>
        <v>Preservation of species</v>
      </c>
      <c r="D9" s="58"/>
      <c r="E9" s="59"/>
      <c r="F9" s="59"/>
      <c r="G9" s="59"/>
      <c r="H9" s="59"/>
      <c r="I9" s="92" t="s">
        <v>98</v>
      </c>
      <c r="J9" s="59"/>
      <c r="K9" s="59"/>
      <c r="L9" s="59"/>
      <c r="M9" s="59"/>
      <c r="N9" s="59"/>
      <c r="O9" s="59"/>
      <c r="P9" s="59"/>
      <c r="Q9" s="59"/>
      <c r="R9" s="59"/>
      <c r="S9" s="59"/>
      <c r="T9" s="59"/>
      <c r="U9" s="59"/>
      <c r="V9" s="59"/>
      <c r="W9" s="59"/>
      <c r="X9" s="59"/>
      <c r="Y9" s="59"/>
      <c r="Z9" s="59"/>
      <c r="AA9" s="59"/>
      <c r="AB9" s="60"/>
    </row>
    <row r="10" spans="1:28" x14ac:dyDescent="0.45">
      <c r="A10" s="93" t="s">
        <v>487</v>
      </c>
      <c r="B10" s="11" t="str">
        <f t="shared" si="1"/>
        <v>Higher education</v>
      </c>
      <c r="D10" s="58"/>
      <c r="E10" s="59"/>
      <c r="F10" s="59"/>
      <c r="G10" s="59"/>
      <c r="H10" s="59"/>
      <c r="I10" s="92" t="s">
        <v>99</v>
      </c>
      <c r="J10" s="59"/>
      <c r="K10" s="59"/>
      <c r="L10" s="59"/>
      <c r="M10" s="59"/>
      <c r="N10" s="59"/>
      <c r="O10" s="59"/>
      <c r="P10" s="59"/>
      <c r="Q10" s="59"/>
      <c r="R10" s="59"/>
      <c r="S10" s="59"/>
      <c r="T10" s="59"/>
      <c r="U10" s="59"/>
      <c r="V10" s="59"/>
      <c r="W10" s="59"/>
      <c r="X10" s="59"/>
      <c r="Y10" s="59"/>
      <c r="Z10" s="59"/>
      <c r="AA10" s="59"/>
      <c r="AB10" s="60"/>
    </row>
    <row r="11" spans="1:28" x14ac:dyDescent="0.45">
      <c r="A11" s="93" t="s">
        <v>488</v>
      </c>
      <c r="B11" s="11" t="str">
        <f t="shared" si="1"/>
        <v>Training for the acquisition, maintenance or improvement of vocational skills</v>
      </c>
      <c r="D11" s="58"/>
      <c r="E11" s="59"/>
      <c r="F11" s="59"/>
      <c r="G11" s="59"/>
      <c r="H11" s="59"/>
      <c r="I11" s="92" t="s">
        <v>404</v>
      </c>
      <c r="J11" s="59"/>
      <c r="K11" s="59"/>
      <c r="L11" s="59"/>
      <c r="M11" s="59"/>
      <c r="N11" s="59"/>
      <c r="O11" s="59"/>
      <c r="P11" s="59"/>
      <c r="Q11" s="59"/>
      <c r="R11" s="59"/>
      <c r="S11" s="59"/>
      <c r="T11" s="59"/>
      <c r="U11" s="59"/>
      <c r="V11" s="59"/>
      <c r="W11" s="59"/>
      <c r="X11" s="59"/>
      <c r="Y11" s="59"/>
      <c r="Z11" s="59"/>
      <c r="AA11" s="59"/>
      <c r="AB11" s="60"/>
    </row>
    <row r="12" spans="1:28" x14ac:dyDescent="0.45">
      <c r="A12" s="92" t="s">
        <v>489</v>
      </c>
      <c r="B12" s="11" t="str">
        <f t="shared" si="1"/>
        <v>Forensic enquiries</v>
      </c>
      <c r="D12" s="58"/>
      <c r="E12" s="59"/>
      <c r="F12" s="59"/>
      <c r="G12" s="59"/>
      <c r="H12" s="59"/>
      <c r="I12" s="92" t="s">
        <v>101</v>
      </c>
      <c r="J12" s="59"/>
      <c r="K12" s="59"/>
      <c r="L12" s="59"/>
      <c r="M12" s="59"/>
      <c r="N12" s="59"/>
      <c r="O12" s="59"/>
      <c r="P12" s="59"/>
      <c r="Q12" s="59"/>
      <c r="R12" s="59"/>
      <c r="S12" s="59"/>
      <c r="T12" s="59"/>
      <c r="U12" s="59"/>
      <c r="V12" s="59"/>
      <c r="W12" s="59"/>
      <c r="X12" s="59"/>
      <c r="Y12" s="59"/>
      <c r="Z12" s="59"/>
      <c r="AA12" s="59"/>
      <c r="AB12" s="60"/>
    </row>
    <row r="13" spans="1:28" x14ac:dyDescent="0.45">
      <c r="A13" s="92" t="s">
        <v>490</v>
      </c>
      <c r="B13" s="11" t="str">
        <f t="shared" ref="B13" si="2">IF(TRIM(HLOOKUP(language_or_default,purposeCategoryTranslations,MATCH(A13,purposeCategories,0),FALSE))="",HLOOKUP("en",purposeCategoryTranslations,MATCH(A13,purposeCategories,0),FALSE),HLOOKUP(language_or_default,purposeCategoryTranslations,MATCH(A13,purposeCategories,0),FALSE))</f>
        <v>Maintenance of colonies of established genetically altered animals, not used in other procedures</v>
      </c>
      <c r="D13" s="58"/>
      <c r="E13" s="59"/>
      <c r="F13" s="59"/>
      <c r="G13" s="59"/>
      <c r="H13" s="59"/>
      <c r="I13" s="92" t="s">
        <v>405</v>
      </c>
      <c r="J13" s="59"/>
      <c r="K13" s="59"/>
      <c r="L13" s="59"/>
      <c r="M13" s="59"/>
      <c r="N13" s="59"/>
      <c r="O13" s="59"/>
      <c r="P13" s="59"/>
      <c r="Q13" s="59"/>
      <c r="R13" s="59"/>
      <c r="S13" s="59"/>
      <c r="T13" s="59"/>
      <c r="U13" s="59"/>
      <c r="V13" s="59"/>
      <c r="W13" s="59"/>
      <c r="X13" s="59"/>
      <c r="Y13" s="59"/>
      <c r="Z13" s="59"/>
      <c r="AA13" s="59"/>
      <c r="AB13" s="60"/>
    </row>
    <row r="14" spans="1:28" ht="14.65" thickBot="1" x14ac:dyDescent="0.5">
      <c r="A14" s="92" t="s">
        <v>544</v>
      </c>
      <c r="B14" s="11" t="str">
        <f t="shared" si="1"/>
        <v>Non-EU Purpose</v>
      </c>
      <c r="D14" s="61"/>
      <c r="E14" s="62"/>
      <c r="F14" s="62"/>
      <c r="G14" s="62"/>
      <c r="H14" s="62"/>
      <c r="I14" s="102" t="s">
        <v>545</v>
      </c>
      <c r="J14" s="62"/>
      <c r="K14" s="62"/>
      <c r="L14" s="62"/>
      <c r="M14" s="62"/>
      <c r="N14" s="62"/>
      <c r="O14" s="62"/>
      <c r="P14" s="62"/>
      <c r="Q14" s="62"/>
      <c r="R14" s="62"/>
      <c r="S14" s="62"/>
      <c r="T14" s="62"/>
      <c r="U14" s="62"/>
      <c r="V14" s="62"/>
      <c r="W14" s="62"/>
      <c r="X14" s="62"/>
      <c r="Y14" s="62"/>
      <c r="Z14" s="62"/>
      <c r="AA14" s="62"/>
      <c r="AB14" s="63"/>
    </row>
    <row r="15" spans="1:28" ht="14.65" thickBot="1" x14ac:dyDescent="0.5">
      <c r="D15" s="59"/>
      <c r="E15" s="59"/>
      <c r="F15" s="59"/>
      <c r="G15" s="59"/>
      <c r="H15" s="59"/>
      <c r="I15" s="92"/>
      <c r="J15" s="59"/>
      <c r="K15" s="59"/>
      <c r="L15" s="59"/>
      <c r="M15" s="59"/>
      <c r="N15" s="59"/>
      <c r="O15" s="59"/>
      <c r="P15" s="59"/>
      <c r="Q15" s="59"/>
      <c r="R15" s="59"/>
      <c r="S15" s="59"/>
      <c r="T15" s="59"/>
      <c r="U15" s="59"/>
      <c r="V15" s="59"/>
      <c r="W15" s="59"/>
      <c r="X15" s="59"/>
      <c r="Y15" s="59"/>
      <c r="Z15" s="59"/>
      <c r="AA15" s="59"/>
      <c r="AB15" s="59"/>
    </row>
    <row r="16" spans="1:28" x14ac:dyDescent="0.45">
      <c r="A16" s="98" t="s">
        <v>408</v>
      </c>
      <c r="B16" s="97" t="s">
        <v>409</v>
      </c>
      <c r="C16" s="97" t="s">
        <v>410</v>
      </c>
      <c r="D16" s="81" t="str">
        <f t="shared" ref="D16:AB16" si="3">languages</f>
        <v>bg</v>
      </c>
      <c r="E16" s="82" t="str">
        <f t="shared" si="3"/>
        <v>cs</v>
      </c>
      <c r="F16" s="82" t="str">
        <f t="shared" si="3"/>
        <v>da</v>
      </c>
      <c r="G16" s="82" t="str">
        <f t="shared" si="3"/>
        <v>de</v>
      </c>
      <c r="H16" s="82" t="str">
        <f t="shared" si="3"/>
        <v>el</v>
      </c>
      <c r="I16" s="82" t="str">
        <f t="shared" si="3"/>
        <v>en</v>
      </c>
      <c r="J16" s="82" t="str">
        <f t="shared" si="3"/>
        <v>es</v>
      </c>
      <c r="K16" s="82" t="str">
        <f t="shared" si="3"/>
        <v>et</v>
      </c>
      <c r="L16" s="82" t="str">
        <f t="shared" si="3"/>
        <v>fi</v>
      </c>
      <c r="M16" s="82" t="str">
        <f t="shared" si="3"/>
        <v>fr</v>
      </c>
      <c r="N16" s="82" t="str">
        <f t="shared" si="3"/>
        <v>ga</v>
      </c>
      <c r="O16" s="82" t="str">
        <f t="shared" si="3"/>
        <v>hr</v>
      </c>
      <c r="P16" s="82" t="str">
        <f t="shared" si="3"/>
        <v>hu</v>
      </c>
      <c r="Q16" s="82" t="str">
        <f t="shared" si="3"/>
        <v>it</v>
      </c>
      <c r="R16" s="82" t="str">
        <f t="shared" si="3"/>
        <v>lt</v>
      </c>
      <c r="S16" s="82" t="str">
        <f t="shared" si="3"/>
        <v>lv</v>
      </c>
      <c r="T16" s="82" t="str">
        <f t="shared" si="3"/>
        <v>mt</v>
      </c>
      <c r="U16" s="82" t="str">
        <f t="shared" si="3"/>
        <v>nl</v>
      </c>
      <c r="V16" s="82" t="str">
        <f t="shared" si="3"/>
        <v>pl</v>
      </c>
      <c r="W16" s="82" t="str">
        <f t="shared" si="3"/>
        <v>pt</v>
      </c>
      <c r="X16" s="82" t="str">
        <f t="shared" si="3"/>
        <v>ro</v>
      </c>
      <c r="Y16" s="82" t="str">
        <f t="shared" si="3"/>
        <v>sk</v>
      </c>
      <c r="Z16" s="82" t="str">
        <f t="shared" si="3"/>
        <v>sl</v>
      </c>
      <c r="AA16" s="82" t="str">
        <f t="shared" si="3"/>
        <v>sv</v>
      </c>
      <c r="AB16" s="83" t="str">
        <f t="shared" si="3"/>
        <v>no</v>
      </c>
    </row>
    <row r="17" spans="1:28" x14ac:dyDescent="0.45">
      <c r="A17" s="11" t="s">
        <v>425</v>
      </c>
      <c r="B17" s="11" t="str">
        <f t="shared" ref="B17:B52" si="4">IF(TRIM(HLOOKUP(language_or_default,purposeTranslations,MATCH(A17,purposeCode,0),FALSE))="",HLOOKUP("en",purposeTranslations,MATCH(A17,purposeCode,0),FALSE),HLOOKUP(language_or_default,purposeTranslations,MATCH(A17,purposeCode,0),FALSE))</f>
        <v>Oncology</v>
      </c>
      <c r="C17" s="11" t="str">
        <f>CONCATENATE(B$5,": ",B17," [",A17,"]")</f>
        <v>Basic research: Oncology [PB1]</v>
      </c>
      <c r="D17" s="58"/>
      <c r="E17" s="59"/>
      <c r="F17" s="59"/>
      <c r="G17" s="59"/>
      <c r="H17" s="59"/>
      <c r="I17" s="92" t="s">
        <v>411</v>
      </c>
      <c r="J17" s="59"/>
      <c r="K17" s="59"/>
      <c r="L17" s="59"/>
      <c r="M17" s="59"/>
      <c r="N17" s="59"/>
      <c r="O17" s="59"/>
      <c r="P17" s="59"/>
      <c r="Q17" s="59"/>
      <c r="R17" s="59"/>
      <c r="S17" s="59"/>
      <c r="T17" s="59"/>
      <c r="U17" s="59"/>
      <c r="V17" s="59"/>
      <c r="W17" s="59"/>
      <c r="X17" s="59"/>
      <c r="Y17" s="59"/>
      <c r="Z17" s="59"/>
      <c r="AA17" s="59"/>
      <c r="AB17" s="60"/>
    </row>
    <row r="18" spans="1:28" x14ac:dyDescent="0.45">
      <c r="A18" s="11" t="s">
        <v>426</v>
      </c>
      <c r="B18" s="11" t="str">
        <f t="shared" si="4"/>
        <v>Cardiovascular Blood and Lymphatic System</v>
      </c>
      <c r="C18" s="11" t="str">
        <f t="shared" ref="C18:C30" si="5">CONCATENATE(B$5,": ",B18," [",A18,"]")</f>
        <v>Basic research: Cardiovascular Blood and Lymphatic System [PB2]</v>
      </c>
      <c r="D18" s="58"/>
      <c r="E18" s="59"/>
      <c r="F18" s="59"/>
      <c r="G18" s="59"/>
      <c r="H18" s="59"/>
      <c r="I18" s="92" t="s">
        <v>412</v>
      </c>
      <c r="J18" s="59"/>
      <c r="K18" s="59"/>
      <c r="L18" s="59"/>
      <c r="M18" s="59"/>
      <c r="N18" s="59"/>
      <c r="O18" s="59"/>
      <c r="P18" s="59"/>
      <c r="Q18" s="59"/>
      <c r="R18" s="59"/>
      <c r="S18" s="59"/>
      <c r="T18" s="59"/>
      <c r="U18" s="59"/>
      <c r="V18" s="59"/>
      <c r="W18" s="59"/>
      <c r="X18" s="59"/>
      <c r="Y18" s="59"/>
      <c r="Z18" s="59"/>
      <c r="AA18" s="59"/>
      <c r="AB18" s="60"/>
    </row>
    <row r="19" spans="1:28" x14ac:dyDescent="0.45">
      <c r="A19" s="11" t="s">
        <v>427</v>
      </c>
      <c r="B19" s="11" t="str">
        <f t="shared" si="4"/>
        <v>Nervous System</v>
      </c>
      <c r="C19" s="11" t="str">
        <f t="shared" si="5"/>
        <v>Basic research: Nervous System [PB3]</v>
      </c>
      <c r="D19" s="58"/>
      <c r="E19" s="59"/>
      <c r="F19" s="59"/>
      <c r="G19" s="59"/>
      <c r="H19" s="59"/>
      <c r="I19" s="92" t="s">
        <v>413</v>
      </c>
      <c r="J19" s="59"/>
      <c r="K19" s="59"/>
      <c r="L19" s="59"/>
      <c r="M19" s="59"/>
      <c r="N19" s="59"/>
      <c r="O19" s="59"/>
      <c r="P19" s="59"/>
      <c r="Q19" s="59"/>
      <c r="R19" s="59"/>
      <c r="S19" s="59"/>
      <c r="T19" s="59"/>
      <c r="U19" s="59"/>
      <c r="V19" s="59"/>
      <c r="W19" s="59"/>
      <c r="X19" s="59"/>
      <c r="Y19" s="59"/>
      <c r="Z19" s="59"/>
      <c r="AA19" s="59"/>
      <c r="AB19" s="60"/>
    </row>
    <row r="20" spans="1:28" x14ac:dyDescent="0.45">
      <c r="A20" s="11" t="s">
        <v>428</v>
      </c>
      <c r="B20" s="11" t="str">
        <f t="shared" si="4"/>
        <v>Respiratory System</v>
      </c>
      <c r="C20" s="11" t="str">
        <f t="shared" si="5"/>
        <v>Basic research: Respiratory System [PB4]</v>
      </c>
      <c r="D20" s="58"/>
      <c r="E20" s="59"/>
      <c r="F20" s="59"/>
      <c r="G20" s="59"/>
      <c r="H20" s="59"/>
      <c r="I20" s="92" t="s">
        <v>414</v>
      </c>
      <c r="J20" s="59"/>
      <c r="K20" s="59"/>
      <c r="L20" s="59"/>
      <c r="M20" s="59"/>
      <c r="N20" s="59"/>
      <c r="O20" s="59"/>
      <c r="P20" s="59"/>
      <c r="Q20" s="59"/>
      <c r="R20" s="59"/>
      <c r="S20" s="59"/>
      <c r="T20" s="59"/>
      <c r="U20" s="59"/>
      <c r="V20" s="59"/>
      <c r="W20" s="59"/>
      <c r="X20" s="59"/>
      <c r="Y20" s="59"/>
      <c r="Z20" s="59"/>
      <c r="AA20" s="59"/>
      <c r="AB20" s="60"/>
    </row>
    <row r="21" spans="1:28" x14ac:dyDescent="0.45">
      <c r="A21" s="11" t="s">
        <v>429</v>
      </c>
      <c r="B21" s="11" t="str">
        <f t="shared" si="4"/>
        <v>Gastrointestinal System including Liver</v>
      </c>
      <c r="C21" s="11" t="str">
        <f t="shared" si="5"/>
        <v>Basic research: Gastrointestinal System including Liver [PB5]</v>
      </c>
      <c r="D21" s="58"/>
      <c r="E21" s="59"/>
      <c r="F21" s="59"/>
      <c r="G21" s="59"/>
      <c r="H21" s="59"/>
      <c r="I21" s="92" t="s">
        <v>415</v>
      </c>
      <c r="J21" s="59"/>
      <c r="K21" s="59"/>
      <c r="L21" s="59"/>
      <c r="M21" s="59"/>
      <c r="N21" s="59"/>
      <c r="O21" s="59"/>
      <c r="P21" s="59"/>
      <c r="Q21" s="59"/>
      <c r="R21" s="59"/>
      <c r="S21" s="59"/>
      <c r="T21" s="59"/>
      <c r="U21" s="59"/>
      <c r="V21" s="59"/>
      <c r="W21" s="59"/>
      <c r="X21" s="59"/>
      <c r="Y21" s="59"/>
      <c r="Z21" s="59"/>
      <c r="AA21" s="59"/>
      <c r="AB21" s="60"/>
    </row>
    <row r="22" spans="1:28" x14ac:dyDescent="0.45">
      <c r="A22" s="11" t="s">
        <v>430</v>
      </c>
      <c r="B22" s="11" t="str">
        <f t="shared" si="4"/>
        <v>Musculoskeletal System</v>
      </c>
      <c r="C22" s="11" t="str">
        <f t="shared" si="5"/>
        <v>Basic research: Musculoskeletal System [PB6]</v>
      </c>
      <c r="D22" s="58"/>
      <c r="E22" s="59"/>
      <c r="F22" s="59"/>
      <c r="G22" s="59"/>
      <c r="H22" s="59"/>
      <c r="I22" s="92" t="s">
        <v>416</v>
      </c>
      <c r="J22" s="59"/>
      <c r="K22" s="59"/>
      <c r="L22" s="59"/>
      <c r="M22" s="59"/>
      <c r="N22" s="59"/>
      <c r="O22" s="59"/>
      <c r="P22" s="59"/>
      <c r="Q22" s="59"/>
      <c r="R22" s="59"/>
      <c r="S22" s="59"/>
      <c r="T22" s="59"/>
      <c r="U22" s="59"/>
      <c r="V22" s="59"/>
      <c r="W22" s="59"/>
      <c r="X22" s="59"/>
      <c r="Y22" s="59"/>
      <c r="Z22" s="59"/>
      <c r="AA22" s="59"/>
      <c r="AB22" s="60"/>
    </row>
    <row r="23" spans="1:28" x14ac:dyDescent="0.45">
      <c r="A23" s="11" t="s">
        <v>431</v>
      </c>
      <c r="B23" s="11" t="str">
        <f t="shared" si="4"/>
        <v>Immune System</v>
      </c>
      <c r="C23" s="11" t="str">
        <f t="shared" si="5"/>
        <v>Basic research: Immune System [PB7]</v>
      </c>
      <c r="D23" s="58"/>
      <c r="E23" s="59"/>
      <c r="F23" s="59"/>
      <c r="G23" s="59"/>
      <c r="H23" s="59"/>
      <c r="I23" s="92" t="s">
        <v>417</v>
      </c>
      <c r="J23" s="59"/>
      <c r="K23" s="59"/>
      <c r="L23" s="59"/>
      <c r="M23" s="59"/>
      <c r="N23" s="59"/>
      <c r="O23" s="59"/>
      <c r="P23" s="59"/>
      <c r="Q23" s="59"/>
      <c r="R23" s="59"/>
      <c r="S23" s="59"/>
      <c r="T23" s="59"/>
      <c r="U23" s="59"/>
      <c r="V23" s="59"/>
      <c r="W23" s="59"/>
      <c r="X23" s="59"/>
      <c r="Y23" s="59"/>
      <c r="Z23" s="59"/>
      <c r="AA23" s="59"/>
      <c r="AB23" s="60"/>
    </row>
    <row r="24" spans="1:28" x14ac:dyDescent="0.45">
      <c r="A24" s="11" t="s">
        <v>432</v>
      </c>
      <c r="B24" s="11" t="str">
        <f t="shared" si="4"/>
        <v>Urogenital/Reproductive System</v>
      </c>
      <c r="C24" s="11" t="str">
        <f t="shared" si="5"/>
        <v>Basic research: Urogenital/Reproductive System [PB8]</v>
      </c>
      <c r="D24" s="58"/>
      <c r="E24" s="59"/>
      <c r="F24" s="59"/>
      <c r="G24" s="59"/>
      <c r="H24" s="59"/>
      <c r="I24" s="92" t="s">
        <v>418</v>
      </c>
      <c r="J24" s="59"/>
      <c r="K24" s="59"/>
      <c r="L24" s="59"/>
      <c r="M24" s="59"/>
      <c r="N24" s="59"/>
      <c r="O24" s="59"/>
      <c r="P24" s="59"/>
      <c r="Q24" s="59"/>
      <c r="R24" s="59"/>
      <c r="S24" s="59"/>
      <c r="T24" s="59"/>
      <c r="U24" s="59"/>
      <c r="V24" s="59"/>
      <c r="W24" s="59"/>
      <c r="X24" s="59"/>
      <c r="Y24" s="59"/>
      <c r="Z24" s="59"/>
      <c r="AA24" s="59"/>
      <c r="AB24" s="60"/>
    </row>
    <row r="25" spans="1:28" x14ac:dyDescent="0.45">
      <c r="A25" s="11" t="s">
        <v>433</v>
      </c>
      <c r="B25" s="11" t="str">
        <f t="shared" si="4"/>
        <v>Sensory Organs (skin, eyes and ears)</v>
      </c>
      <c r="C25" s="11" t="str">
        <f t="shared" si="5"/>
        <v>Basic research: Sensory Organs (skin, eyes and ears) [PB9]</v>
      </c>
      <c r="D25" s="58"/>
      <c r="E25" s="59"/>
      <c r="F25" s="59"/>
      <c r="G25" s="59"/>
      <c r="H25" s="59"/>
      <c r="I25" s="92" t="s">
        <v>419</v>
      </c>
      <c r="J25" s="59"/>
      <c r="K25" s="59"/>
      <c r="L25" s="59"/>
      <c r="M25" s="59"/>
      <c r="N25" s="59"/>
      <c r="O25" s="59"/>
      <c r="P25" s="59"/>
      <c r="Q25" s="59"/>
      <c r="R25" s="59"/>
      <c r="S25" s="59"/>
      <c r="T25" s="59"/>
      <c r="U25" s="59"/>
      <c r="V25" s="59"/>
      <c r="W25" s="59"/>
      <c r="X25" s="59"/>
      <c r="Y25" s="59"/>
      <c r="Z25" s="59"/>
      <c r="AA25" s="59"/>
      <c r="AB25" s="60"/>
    </row>
    <row r="26" spans="1:28" x14ac:dyDescent="0.45">
      <c r="A26" s="11" t="s">
        <v>434</v>
      </c>
      <c r="B26" s="11" t="str">
        <f t="shared" si="4"/>
        <v>Endocrine System/Metabolism</v>
      </c>
      <c r="C26" s="11" t="str">
        <f t="shared" si="5"/>
        <v>Basic research: Endocrine System/Metabolism [PB10]</v>
      </c>
      <c r="D26" s="58"/>
      <c r="E26" s="59"/>
      <c r="F26" s="59"/>
      <c r="G26" s="59"/>
      <c r="H26" s="59"/>
      <c r="I26" s="92" t="s">
        <v>420</v>
      </c>
      <c r="J26" s="59"/>
      <c r="K26" s="59"/>
      <c r="L26" s="59"/>
      <c r="M26" s="59"/>
      <c r="N26" s="59"/>
      <c r="O26" s="59"/>
      <c r="P26" s="59"/>
      <c r="Q26" s="59"/>
      <c r="R26" s="59"/>
      <c r="S26" s="59"/>
      <c r="T26" s="59"/>
      <c r="U26" s="59"/>
      <c r="V26" s="59"/>
      <c r="W26" s="59"/>
      <c r="X26" s="59"/>
      <c r="Y26" s="59"/>
      <c r="Z26" s="59"/>
      <c r="AA26" s="59"/>
      <c r="AB26" s="60"/>
    </row>
    <row r="27" spans="1:28" x14ac:dyDescent="0.45">
      <c r="A27" s="99" t="s">
        <v>438</v>
      </c>
      <c r="B27" s="11" t="str">
        <f t="shared" si="4"/>
        <v>Developmental Biology</v>
      </c>
      <c r="C27" s="11" t="str">
        <f t="shared" si="5"/>
        <v>Basic research: Developmental Biology [PB14]</v>
      </c>
      <c r="D27" s="58"/>
      <c r="E27" s="59"/>
      <c r="F27" s="59"/>
      <c r="G27" s="59"/>
      <c r="H27" s="59"/>
      <c r="I27" s="92" t="s">
        <v>421</v>
      </c>
      <c r="J27" s="59"/>
      <c r="K27" s="59"/>
      <c r="L27" s="59"/>
      <c r="M27" s="59"/>
      <c r="N27" s="59"/>
      <c r="O27" s="59"/>
      <c r="P27" s="59"/>
      <c r="Q27" s="59"/>
      <c r="R27" s="59"/>
      <c r="S27" s="59"/>
      <c r="T27" s="59"/>
      <c r="U27" s="59"/>
      <c r="V27" s="59"/>
      <c r="W27" s="59"/>
      <c r="X27" s="59"/>
      <c r="Y27" s="59"/>
      <c r="Z27" s="59"/>
      <c r="AA27" s="59"/>
      <c r="AB27" s="60"/>
    </row>
    <row r="28" spans="1:28" x14ac:dyDescent="0.45">
      <c r="A28" s="11" t="s">
        <v>435</v>
      </c>
      <c r="B28" s="11" t="str">
        <f t="shared" si="4"/>
        <v>Multisystemic</v>
      </c>
      <c r="C28" s="11" t="str">
        <f t="shared" si="5"/>
        <v>Basic research: Multisystemic [PB11]</v>
      </c>
      <c r="D28" s="58"/>
      <c r="E28" s="59"/>
      <c r="F28" s="59"/>
      <c r="G28" s="59"/>
      <c r="H28" s="59"/>
      <c r="I28" s="92" t="s">
        <v>422</v>
      </c>
      <c r="J28" s="59"/>
      <c r="K28" s="59"/>
      <c r="L28" s="59"/>
      <c r="M28" s="59"/>
      <c r="N28" s="59"/>
      <c r="O28" s="59"/>
      <c r="P28" s="59"/>
      <c r="Q28" s="59"/>
      <c r="R28" s="59"/>
      <c r="S28" s="59"/>
      <c r="T28" s="59"/>
      <c r="U28" s="59"/>
      <c r="V28" s="59"/>
      <c r="W28" s="59"/>
      <c r="X28" s="59"/>
      <c r="Y28" s="59"/>
      <c r="Z28" s="59"/>
      <c r="AA28" s="59"/>
      <c r="AB28" s="60"/>
    </row>
    <row r="29" spans="1:28" x14ac:dyDescent="0.45">
      <c r="A29" s="11" t="s">
        <v>436</v>
      </c>
      <c r="B29" s="11" t="str">
        <f t="shared" si="4"/>
        <v>Ethology/Animal Behaviour/Animal Biology</v>
      </c>
      <c r="C29" s="11" t="str">
        <f t="shared" si="5"/>
        <v>Basic research: Ethology/Animal Behaviour/Animal Biology [PB12]</v>
      </c>
      <c r="D29" s="58"/>
      <c r="E29" s="59"/>
      <c r="F29" s="59"/>
      <c r="G29" s="59"/>
      <c r="H29" s="59"/>
      <c r="I29" s="92" t="s">
        <v>423</v>
      </c>
      <c r="J29" s="59"/>
      <c r="K29" s="59"/>
      <c r="L29" s="59"/>
      <c r="M29" s="59"/>
      <c r="N29" s="59"/>
      <c r="O29" s="59"/>
      <c r="P29" s="59"/>
      <c r="Q29" s="59"/>
      <c r="R29" s="59"/>
      <c r="S29" s="59"/>
      <c r="T29" s="59"/>
      <c r="U29" s="59"/>
      <c r="V29" s="59"/>
      <c r="W29" s="59"/>
      <c r="X29" s="59"/>
      <c r="Y29" s="59"/>
      <c r="Z29" s="59"/>
      <c r="AA29" s="59"/>
      <c r="AB29" s="60"/>
    </row>
    <row r="30" spans="1:28" x14ac:dyDescent="0.45">
      <c r="A30" s="11" t="s">
        <v>437</v>
      </c>
      <c r="B30" s="11" t="str">
        <f t="shared" si="4"/>
        <v>Other Basic Research</v>
      </c>
      <c r="C30" s="11" t="str">
        <f t="shared" si="5"/>
        <v>Basic research: Other Basic Research [PB13]</v>
      </c>
      <c r="D30" s="58"/>
      <c r="E30" s="59"/>
      <c r="F30" s="59"/>
      <c r="G30" s="59"/>
      <c r="H30" s="59"/>
      <c r="I30" s="92" t="s">
        <v>424</v>
      </c>
      <c r="J30" s="59"/>
      <c r="K30" s="59"/>
      <c r="L30" s="59"/>
      <c r="M30" s="59"/>
      <c r="N30" s="59"/>
      <c r="O30" s="59"/>
      <c r="P30" s="59"/>
      <c r="Q30" s="59"/>
      <c r="R30" s="59"/>
      <c r="S30" s="59"/>
      <c r="T30" s="59"/>
      <c r="U30" s="59"/>
      <c r="V30" s="59"/>
      <c r="W30" s="59"/>
      <c r="X30" s="59"/>
      <c r="Y30" s="59"/>
      <c r="Z30" s="59"/>
      <c r="AA30" s="59"/>
      <c r="AB30" s="60"/>
    </row>
    <row r="31" spans="1:28" x14ac:dyDescent="0.45">
      <c r="A31" s="11" t="s">
        <v>457</v>
      </c>
      <c r="B31" s="11" t="str">
        <f t="shared" si="4"/>
        <v>Human Cancer</v>
      </c>
      <c r="C31" s="11" t="str">
        <f>CONCATENATE(B$6,": ",B31," [",A31,"]")</f>
        <v>Translational and applied research: Human Cancer [PT21]</v>
      </c>
      <c r="D31" s="58"/>
      <c r="E31" s="59"/>
      <c r="F31" s="59"/>
      <c r="G31" s="59"/>
      <c r="H31" s="59"/>
      <c r="I31" s="92" t="s">
        <v>439</v>
      </c>
      <c r="J31" s="59"/>
      <c r="K31" s="59"/>
      <c r="L31" s="59"/>
      <c r="M31" s="59"/>
      <c r="N31" s="59"/>
      <c r="O31" s="59"/>
      <c r="P31" s="59"/>
      <c r="Q31" s="59"/>
      <c r="R31" s="59"/>
      <c r="S31" s="59"/>
      <c r="T31" s="59"/>
      <c r="U31" s="59"/>
      <c r="V31" s="59"/>
      <c r="W31" s="59"/>
      <c r="X31" s="59"/>
      <c r="Y31" s="59"/>
      <c r="Z31" s="59"/>
      <c r="AA31" s="59"/>
      <c r="AB31" s="60"/>
    </row>
    <row r="32" spans="1:28" x14ac:dyDescent="0.45">
      <c r="A32" s="11" t="s">
        <v>458</v>
      </c>
      <c r="B32" s="11" t="str">
        <f t="shared" si="4"/>
        <v>Human Infectious Disorders</v>
      </c>
      <c r="C32" s="11" t="str">
        <f t="shared" ref="C32:C48" si="6">CONCATENATE(B$6,": ",B32," [",A32,"]")</f>
        <v>Translational and applied research: Human Infectious Disorders [PT22]</v>
      </c>
      <c r="D32" s="58"/>
      <c r="E32" s="59"/>
      <c r="F32" s="59"/>
      <c r="G32" s="59"/>
      <c r="H32" s="59"/>
      <c r="I32" s="92" t="s">
        <v>440</v>
      </c>
      <c r="J32" s="59"/>
      <c r="K32" s="59"/>
      <c r="L32" s="59"/>
      <c r="M32" s="59"/>
      <c r="N32" s="59"/>
      <c r="O32" s="59"/>
      <c r="P32" s="59"/>
      <c r="Q32" s="59"/>
      <c r="R32" s="59"/>
      <c r="S32" s="59"/>
      <c r="T32" s="59"/>
      <c r="U32" s="59"/>
      <c r="V32" s="59"/>
      <c r="W32" s="59"/>
      <c r="X32" s="59"/>
      <c r="Y32" s="59"/>
      <c r="Z32" s="59"/>
      <c r="AA32" s="59"/>
      <c r="AB32" s="60"/>
    </row>
    <row r="33" spans="1:28" x14ac:dyDescent="0.45">
      <c r="A33" s="11" t="s">
        <v>459</v>
      </c>
      <c r="B33" s="11" t="str">
        <f t="shared" si="4"/>
        <v>Human Cardiovascular Disorders</v>
      </c>
      <c r="C33" s="11" t="str">
        <f t="shared" si="6"/>
        <v>Translational and applied research: Human Cardiovascular Disorders [PT23]</v>
      </c>
      <c r="D33" s="58"/>
      <c r="E33" s="59"/>
      <c r="F33" s="59"/>
      <c r="G33" s="59"/>
      <c r="H33" s="59"/>
      <c r="I33" s="92" t="s">
        <v>441</v>
      </c>
      <c r="J33" s="59"/>
      <c r="K33" s="59"/>
      <c r="L33" s="59"/>
      <c r="M33" s="59"/>
      <c r="N33" s="59"/>
      <c r="O33" s="59"/>
      <c r="P33" s="59"/>
      <c r="Q33" s="59"/>
      <c r="R33" s="59"/>
      <c r="S33" s="59"/>
      <c r="T33" s="59"/>
      <c r="U33" s="59"/>
      <c r="V33" s="59"/>
      <c r="W33" s="59"/>
      <c r="X33" s="59"/>
      <c r="Y33" s="59"/>
      <c r="Z33" s="59"/>
      <c r="AA33" s="59"/>
      <c r="AB33" s="60"/>
    </row>
    <row r="34" spans="1:28" x14ac:dyDescent="0.45">
      <c r="A34" s="11" t="s">
        <v>460</v>
      </c>
      <c r="B34" s="11" t="str">
        <f t="shared" si="4"/>
        <v>Human Nervous and Mental Disorders</v>
      </c>
      <c r="C34" s="11" t="str">
        <f t="shared" si="6"/>
        <v>Translational and applied research: Human Nervous and Mental Disorders [PT24]</v>
      </c>
      <c r="D34" s="58"/>
      <c r="E34" s="59"/>
      <c r="F34" s="59"/>
      <c r="G34" s="59"/>
      <c r="H34" s="59"/>
      <c r="I34" s="92" t="s">
        <v>442</v>
      </c>
      <c r="J34" s="59"/>
      <c r="K34" s="59"/>
      <c r="L34" s="59"/>
      <c r="M34" s="59"/>
      <c r="N34" s="59"/>
      <c r="O34" s="59"/>
      <c r="P34" s="59"/>
      <c r="Q34" s="59"/>
      <c r="R34" s="59"/>
      <c r="S34" s="59"/>
      <c r="T34" s="59"/>
      <c r="U34" s="59"/>
      <c r="V34" s="59"/>
      <c r="W34" s="59"/>
      <c r="X34" s="59"/>
      <c r="Y34" s="59"/>
      <c r="Z34" s="59"/>
      <c r="AA34" s="59"/>
      <c r="AB34" s="60"/>
    </row>
    <row r="35" spans="1:28" x14ac:dyDescent="0.45">
      <c r="A35" s="11" t="s">
        <v>461</v>
      </c>
      <c r="B35" s="11" t="str">
        <f t="shared" si="4"/>
        <v>Human Respiratory Disorders</v>
      </c>
      <c r="C35" s="11" t="str">
        <f t="shared" si="6"/>
        <v>Translational and applied research: Human Respiratory Disorders [PT25]</v>
      </c>
      <c r="D35" s="58"/>
      <c r="E35" s="59"/>
      <c r="F35" s="59"/>
      <c r="G35" s="59"/>
      <c r="H35" s="59"/>
      <c r="I35" s="92" t="s">
        <v>443</v>
      </c>
      <c r="J35" s="59"/>
      <c r="K35" s="59"/>
      <c r="L35" s="59"/>
      <c r="M35" s="59"/>
      <c r="N35" s="59"/>
      <c r="O35" s="59"/>
      <c r="P35" s="59"/>
      <c r="Q35" s="59"/>
      <c r="R35" s="59"/>
      <c r="S35" s="59"/>
      <c r="T35" s="59"/>
      <c r="U35" s="59"/>
      <c r="V35" s="59"/>
      <c r="W35" s="59"/>
      <c r="X35" s="59"/>
      <c r="Y35" s="59"/>
      <c r="Z35" s="59"/>
      <c r="AA35" s="59"/>
      <c r="AB35" s="60"/>
    </row>
    <row r="36" spans="1:28" x14ac:dyDescent="0.45">
      <c r="A36" s="11" t="s">
        <v>462</v>
      </c>
      <c r="B36" s="11" t="str">
        <f t="shared" si="4"/>
        <v>Human Gastrointestinal Disorders including Liver</v>
      </c>
      <c r="C36" s="11" t="str">
        <f t="shared" si="6"/>
        <v>Translational and applied research: Human Gastrointestinal Disorders including Liver [PT26]</v>
      </c>
      <c r="D36" s="58"/>
      <c r="E36" s="59"/>
      <c r="F36" s="59"/>
      <c r="G36" s="59"/>
      <c r="H36" s="59"/>
      <c r="I36" s="92" t="s">
        <v>444</v>
      </c>
      <c r="J36" s="59"/>
      <c r="K36" s="59"/>
      <c r="L36" s="59"/>
      <c r="M36" s="59"/>
      <c r="N36" s="59"/>
      <c r="O36" s="59"/>
      <c r="P36" s="59"/>
      <c r="Q36" s="59"/>
      <c r="R36" s="59"/>
      <c r="S36" s="59"/>
      <c r="T36" s="59"/>
      <c r="U36" s="59"/>
      <c r="V36" s="59"/>
      <c r="W36" s="59"/>
      <c r="X36" s="59"/>
      <c r="Y36" s="59"/>
      <c r="Z36" s="59"/>
      <c r="AA36" s="59"/>
      <c r="AB36" s="60"/>
    </row>
    <row r="37" spans="1:28" x14ac:dyDescent="0.45">
      <c r="A37" s="11" t="s">
        <v>463</v>
      </c>
      <c r="B37" s="11" t="str">
        <f t="shared" si="4"/>
        <v>Human Musculoskeletal Disorders</v>
      </c>
      <c r="C37" s="11" t="str">
        <f t="shared" si="6"/>
        <v>Translational and applied research: Human Musculoskeletal Disorders [PT27]</v>
      </c>
      <c r="D37" s="58"/>
      <c r="E37" s="59"/>
      <c r="F37" s="59"/>
      <c r="G37" s="59"/>
      <c r="H37" s="59"/>
      <c r="I37" s="92" t="s">
        <v>445</v>
      </c>
      <c r="J37" s="59"/>
      <c r="K37" s="59"/>
      <c r="L37" s="59"/>
      <c r="M37" s="59"/>
      <c r="N37" s="59"/>
      <c r="O37" s="59"/>
      <c r="P37" s="59"/>
      <c r="Q37" s="59"/>
      <c r="R37" s="59"/>
      <c r="S37" s="59"/>
      <c r="T37" s="59"/>
      <c r="U37" s="59"/>
      <c r="V37" s="59"/>
      <c r="W37" s="59"/>
      <c r="X37" s="59"/>
      <c r="Y37" s="59"/>
      <c r="Z37" s="59"/>
      <c r="AA37" s="59"/>
      <c r="AB37" s="60"/>
    </row>
    <row r="38" spans="1:28" x14ac:dyDescent="0.45">
      <c r="A38" s="11" t="s">
        <v>464</v>
      </c>
      <c r="B38" s="11" t="str">
        <f t="shared" si="4"/>
        <v>Human Immune Disorders</v>
      </c>
      <c r="C38" s="11" t="str">
        <f t="shared" si="6"/>
        <v>Translational and applied research: Human Immune Disorders [PT28]</v>
      </c>
      <c r="D38" s="58"/>
      <c r="E38" s="59"/>
      <c r="F38" s="59"/>
      <c r="G38" s="59"/>
      <c r="H38" s="59"/>
      <c r="I38" s="92" t="s">
        <v>446</v>
      </c>
      <c r="J38" s="59"/>
      <c r="K38" s="59"/>
      <c r="L38" s="59"/>
      <c r="M38" s="59"/>
      <c r="N38" s="59"/>
      <c r="O38" s="59"/>
      <c r="P38" s="59"/>
      <c r="Q38" s="59"/>
      <c r="R38" s="59"/>
      <c r="S38" s="59"/>
      <c r="T38" s="59"/>
      <c r="U38" s="59"/>
      <c r="V38" s="59"/>
      <c r="W38" s="59"/>
      <c r="X38" s="59"/>
      <c r="Y38" s="59"/>
      <c r="Z38" s="59"/>
      <c r="AA38" s="59"/>
      <c r="AB38" s="60"/>
    </row>
    <row r="39" spans="1:28" x14ac:dyDescent="0.45">
      <c r="A39" s="11" t="s">
        <v>465</v>
      </c>
      <c r="B39" s="11" t="str">
        <f t="shared" si="4"/>
        <v>Human Urogenital/Reproductive Disorders</v>
      </c>
      <c r="C39" s="11" t="str">
        <f t="shared" si="6"/>
        <v>Translational and applied research: Human Urogenital/Reproductive Disorders [PT29]</v>
      </c>
      <c r="D39" s="58"/>
      <c r="E39" s="59"/>
      <c r="F39" s="59"/>
      <c r="G39" s="59"/>
      <c r="H39" s="59"/>
      <c r="I39" s="92" t="s">
        <v>447</v>
      </c>
      <c r="J39" s="59"/>
      <c r="K39" s="59"/>
      <c r="L39" s="59"/>
      <c r="M39" s="59"/>
      <c r="N39" s="59"/>
      <c r="O39" s="59"/>
      <c r="P39" s="59"/>
      <c r="Q39" s="59"/>
      <c r="R39" s="59"/>
      <c r="S39" s="59"/>
      <c r="T39" s="59"/>
      <c r="U39" s="59"/>
      <c r="V39" s="59"/>
      <c r="W39" s="59"/>
      <c r="X39" s="59"/>
      <c r="Y39" s="59"/>
      <c r="Z39" s="59"/>
      <c r="AA39" s="59"/>
      <c r="AB39" s="60"/>
    </row>
    <row r="40" spans="1:28" x14ac:dyDescent="0.45">
      <c r="A40" s="11" t="s">
        <v>466</v>
      </c>
      <c r="B40" s="11" t="str">
        <f t="shared" si="4"/>
        <v>Human Sensory Organ Disorders (skin, eyes and ears)</v>
      </c>
      <c r="C40" s="11" t="str">
        <f t="shared" si="6"/>
        <v>Translational and applied research: Human Sensory Organ Disorders (skin, eyes and ears) [PT30]</v>
      </c>
      <c r="D40" s="58"/>
      <c r="E40" s="59"/>
      <c r="F40" s="59"/>
      <c r="G40" s="59"/>
      <c r="H40" s="59"/>
      <c r="I40" s="92" t="s">
        <v>448</v>
      </c>
      <c r="J40" s="59"/>
      <c r="K40" s="59"/>
      <c r="L40" s="59"/>
      <c r="M40" s="59"/>
      <c r="N40" s="59"/>
      <c r="O40" s="59"/>
      <c r="P40" s="59"/>
      <c r="Q40" s="59"/>
      <c r="R40" s="59"/>
      <c r="S40" s="59"/>
      <c r="T40" s="59"/>
      <c r="U40" s="59"/>
      <c r="V40" s="59"/>
      <c r="W40" s="59"/>
      <c r="X40" s="59"/>
      <c r="Y40" s="59"/>
      <c r="Z40" s="59"/>
      <c r="AA40" s="59"/>
      <c r="AB40" s="60"/>
    </row>
    <row r="41" spans="1:28" x14ac:dyDescent="0.45">
      <c r="A41" s="11" t="s">
        <v>467</v>
      </c>
      <c r="B41" s="11" t="str">
        <f t="shared" si="4"/>
        <v>Human Endocrine/Metabolism Disorders</v>
      </c>
      <c r="C41" s="11" t="str">
        <f t="shared" si="6"/>
        <v>Translational and applied research: Human Endocrine/Metabolism Disorders [PT31]</v>
      </c>
      <c r="D41" s="58"/>
      <c r="E41" s="59"/>
      <c r="F41" s="59"/>
      <c r="G41" s="59"/>
      <c r="H41" s="59"/>
      <c r="I41" s="92" t="s">
        <v>449</v>
      </c>
      <c r="J41" s="59"/>
      <c r="K41" s="59"/>
      <c r="L41" s="59"/>
      <c r="M41" s="59"/>
      <c r="N41" s="59"/>
      <c r="O41" s="59"/>
      <c r="P41" s="59"/>
      <c r="Q41" s="59"/>
      <c r="R41" s="59"/>
      <c r="S41" s="59"/>
      <c r="T41" s="59"/>
      <c r="U41" s="59"/>
      <c r="V41" s="59"/>
      <c r="W41" s="59"/>
      <c r="X41" s="59"/>
      <c r="Y41" s="59"/>
      <c r="Z41" s="59"/>
      <c r="AA41" s="59"/>
      <c r="AB41" s="60"/>
    </row>
    <row r="42" spans="1:28" x14ac:dyDescent="0.45">
      <c r="A42" s="11" t="s">
        <v>468</v>
      </c>
      <c r="B42" s="11" t="str">
        <f t="shared" si="4"/>
        <v>Other Human Disorders</v>
      </c>
      <c r="C42" s="11" t="str">
        <f t="shared" si="6"/>
        <v>Translational and applied research: Other Human Disorders [PT32]</v>
      </c>
      <c r="D42" s="58"/>
      <c r="E42" s="59"/>
      <c r="F42" s="59"/>
      <c r="G42" s="59"/>
      <c r="H42" s="59"/>
      <c r="I42" s="92" t="s">
        <v>450</v>
      </c>
      <c r="J42" s="59"/>
      <c r="K42" s="59"/>
      <c r="L42" s="59"/>
      <c r="M42" s="59"/>
      <c r="N42" s="59"/>
      <c r="O42" s="59"/>
      <c r="P42" s="59"/>
      <c r="Q42" s="59"/>
      <c r="R42" s="59"/>
      <c r="S42" s="59"/>
      <c r="T42" s="59"/>
      <c r="U42" s="59"/>
      <c r="V42" s="59"/>
      <c r="W42" s="59"/>
      <c r="X42" s="59"/>
      <c r="Y42" s="59"/>
      <c r="Z42" s="59"/>
      <c r="AA42" s="59"/>
      <c r="AB42" s="60"/>
    </row>
    <row r="43" spans="1:28" x14ac:dyDescent="0.45">
      <c r="A43" s="11" t="s">
        <v>469</v>
      </c>
      <c r="B43" s="11" t="str">
        <f t="shared" si="4"/>
        <v>Animal Diseases and Disorders</v>
      </c>
      <c r="C43" s="11" t="str">
        <f t="shared" si="6"/>
        <v>Translational and applied research: Animal Diseases and Disorders [PT33]</v>
      </c>
      <c r="D43" s="58"/>
      <c r="E43" s="59"/>
      <c r="F43" s="59"/>
      <c r="G43" s="59"/>
      <c r="H43" s="59"/>
      <c r="I43" s="92" t="s">
        <v>451</v>
      </c>
      <c r="J43" s="59"/>
      <c r="K43" s="59"/>
      <c r="L43" s="59"/>
      <c r="M43" s="59"/>
      <c r="N43" s="59"/>
      <c r="O43" s="59"/>
      <c r="P43" s="59"/>
      <c r="Q43" s="59"/>
      <c r="R43" s="59"/>
      <c r="S43" s="59"/>
      <c r="T43" s="59"/>
      <c r="U43" s="59"/>
      <c r="V43" s="59"/>
      <c r="W43" s="59"/>
      <c r="X43" s="59"/>
      <c r="Y43" s="59"/>
      <c r="Z43" s="59"/>
      <c r="AA43" s="59"/>
      <c r="AB43" s="60"/>
    </row>
    <row r="44" spans="1:28" x14ac:dyDescent="0.45">
      <c r="A44" s="99" t="s">
        <v>474</v>
      </c>
      <c r="B44" s="11" t="str">
        <f t="shared" si="4"/>
        <v>Animal Nutrition</v>
      </c>
      <c r="C44" s="11" t="str">
        <f t="shared" si="6"/>
        <v>Translational and applied research: Animal Nutrition [PT38]</v>
      </c>
      <c r="D44" s="58"/>
      <c r="E44" s="59"/>
      <c r="F44" s="59"/>
      <c r="G44" s="59"/>
      <c r="H44" s="59"/>
      <c r="I44" s="92" t="s">
        <v>452</v>
      </c>
      <c r="J44" s="59"/>
      <c r="K44" s="59"/>
      <c r="L44" s="59"/>
      <c r="M44" s="59"/>
      <c r="N44" s="59"/>
      <c r="O44" s="59"/>
      <c r="P44" s="59"/>
      <c r="Q44" s="59"/>
      <c r="R44" s="59"/>
      <c r="S44" s="59"/>
      <c r="T44" s="59"/>
      <c r="U44" s="59"/>
      <c r="V44" s="59"/>
      <c r="W44" s="59"/>
      <c r="X44" s="59"/>
      <c r="Y44" s="59"/>
      <c r="Z44" s="59"/>
      <c r="AA44" s="59"/>
      <c r="AB44" s="60"/>
    </row>
    <row r="45" spans="1:28" x14ac:dyDescent="0.45">
      <c r="A45" s="11" t="s">
        <v>470</v>
      </c>
      <c r="B45" s="11" t="str">
        <f t="shared" si="4"/>
        <v>Animal Welfare</v>
      </c>
      <c r="C45" s="11" t="str">
        <f t="shared" si="6"/>
        <v>Translational and applied research: Animal Welfare [PT34]</v>
      </c>
      <c r="D45" s="58"/>
      <c r="E45" s="59"/>
      <c r="F45" s="59"/>
      <c r="G45" s="59"/>
      <c r="H45" s="59"/>
      <c r="I45" s="92" t="s">
        <v>453</v>
      </c>
      <c r="J45" s="59"/>
      <c r="K45" s="59"/>
      <c r="L45" s="59"/>
      <c r="M45" s="59"/>
      <c r="N45" s="59"/>
      <c r="O45" s="59"/>
      <c r="P45" s="59"/>
      <c r="Q45" s="59"/>
      <c r="R45" s="59"/>
      <c r="S45" s="59"/>
      <c r="T45" s="59"/>
      <c r="U45" s="59"/>
      <c r="V45" s="59"/>
      <c r="W45" s="59"/>
      <c r="X45" s="59"/>
      <c r="Y45" s="59"/>
      <c r="Z45" s="59"/>
      <c r="AA45" s="59"/>
      <c r="AB45" s="60"/>
    </row>
    <row r="46" spans="1:28" x14ac:dyDescent="0.45">
      <c r="A46" s="11" t="s">
        <v>471</v>
      </c>
      <c r="B46" s="11" t="str">
        <f t="shared" si="4"/>
        <v>Diagnosis of Diseases</v>
      </c>
      <c r="C46" s="11" t="str">
        <f t="shared" si="6"/>
        <v>Translational and applied research: Diagnosis of Diseases [PT35]</v>
      </c>
      <c r="D46" s="58"/>
      <c r="E46" s="59"/>
      <c r="F46" s="59"/>
      <c r="G46" s="59"/>
      <c r="H46" s="59"/>
      <c r="I46" s="92" t="s">
        <v>454</v>
      </c>
      <c r="J46" s="59"/>
      <c r="K46" s="59"/>
      <c r="L46" s="59"/>
      <c r="M46" s="59"/>
      <c r="N46" s="59"/>
      <c r="O46" s="59"/>
      <c r="P46" s="59"/>
      <c r="Q46" s="59"/>
      <c r="R46" s="59"/>
      <c r="S46" s="59"/>
      <c r="T46" s="59"/>
      <c r="U46" s="59"/>
      <c r="V46" s="59"/>
      <c r="W46" s="59"/>
      <c r="X46" s="59"/>
      <c r="Y46" s="59"/>
      <c r="Z46" s="59"/>
      <c r="AA46" s="59"/>
      <c r="AB46" s="60"/>
    </row>
    <row r="47" spans="1:28" x14ac:dyDescent="0.45">
      <c r="A47" s="11" t="s">
        <v>472</v>
      </c>
      <c r="B47" s="11" t="str">
        <f t="shared" si="4"/>
        <v>Plant Diseases</v>
      </c>
      <c r="C47" s="11" t="str">
        <f t="shared" si="6"/>
        <v>Translational and applied research: Plant Diseases [PT36]</v>
      </c>
      <c r="D47" s="58"/>
      <c r="E47" s="59"/>
      <c r="F47" s="59"/>
      <c r="G47" s="59"/>
      <c r="H47" s="59"/>
      <c r="I47" s="92" t="s">
        <v>455</v>
      </c>
      <c r="J47" s="59"/>
      <c r="K47" s="59"/>
      <c r="L47" s="59"/>
      <c r="M47" s="59"/>
      <c r="N47" s="59"/>
      <c r="O47" s="59"/>
      <c r="P47" s="59"/>
      <c r="Q47" s="59"/>
      <c r="R47" s="59"/>
      <c r="S47" s="59"/>
      <c r="T47" s="59"/>
      <c r="U47" s="59"/>
      <c r="V47" s="59"/>
      <c r="W47" s="59"/>
      <c r="X47" s="59"/>
      <c r="Y47" s="59"/>
      <c r="Z47" s="59"/>
      <c r="AA47" s="59"/>
      <c r="AB47" s="60"/>
    </row>
    <row r="48" spans="1:28" x14ac:dyDescent="0.45">
      <c r="A48" s="11" t="s">
        <v>473</v>
      </c>
      <c r="B48" s="11" t="str">
        <f t="shared" si="4"/>
        <v>Non-regulatory Toxicology and Ecotoxicology</v>
      </c>
      <c r="C48" s="11" t="str">
        <f t="shared" si="6"/>
        <v>Translational and applied research: Non-regulatory Toxicology and Ecotoxicology [PT37]</v>
      </c>
      <c r="D48" s="58"/>
      <c r="E48" s="59"/>
      <c r="F48" s="59"/>
      <c r="G48" s="59"/>
      <c r="H48" s="59"/>
      <c r="I48" s="92" t="s">
        <v>456</v>
      </c>
      <c r="J48" s="59"/>
      <c r="K48" s="59"/>
      <c r="L48" s="59"/>
      <c r="M48" s="59"/>
      <c r="N48" s="59"/>
      <c r="O48" s="59"/>
      <c r="P48" s="59"/>
      <c r="Q48" s="59"/>
      <c r="R48" s="59"/>
      <c r="S48" s="59"/>
      <c r="T48" s="59"/>
      <c r="U48" s="59"/>
      <c r="V48" s="59"/>
      <c r="W48" s="59"/>
      <c r="X48" s="59"/>
      <c r="Y48" s="59"/>
      <c r="Z48" s="59"/>
      <c r="AA48" s="59"/>
      <c r="AB48" s="60"/>
    </row>
    <row r="49" spans="1:28" x14ac:dyDescent="0.45">
      <c r="A49" s="99" t="s">
        <v>481</v>
      </c>
      <c r="B49" s="11" t="str">
        <f t="shared" si="4"/>
        <v>Quality control (including batch safety and potency testing)</v>
      </c>
      <c r="C49" s="11" t="str">
        <f>CONCATENATE(B$7,": ",B49," [",A49,"]")</f>
        <v>Regulatory use and routine production: Quality control (including batch safety and potency testing) [PRQC]</v>
      </c>
      <c r="D49" s="58"/>
      <c r="E49" s="59"/>
      <c r="F49" s="59"/>
      <c r="G49" s="59"/>
      <c r="H49" s="59"/>
      <c r="I49" s="92" t="s">
        <v>477</v>
      </c>
      <c r="J49" s="59"/>
      <c r="K49" s="59"/>
      <c r="L49" s="59"/>
      <c r="M49" s="59"/>
      <c r="N49" s="59"/>
      <c r="O49" s="59"/>
      <c r="P49" s="59"/>
      <c r="Q49" s="59"/>
      <c r="R49" s="59"/>
      <c r="S49" s="59"/>
      <c r="T49" s="59"/>
      <c r="U49" s="59"/>
      <c r="V49" s="59"/>
      <c r="W49" s="59"/>
      <c r="X49" s="59"/>
      <c r="Y49" s="59"/>
      <c r="Z49" s="59"/>
      <c r="AA49" s="59"/>
      <c r="AB49" s="60"/>
    </row>
    <row r="50" spans="1:28" x14ac:dyDescent="0.45">
      <c r="A50" s="11" t="s">
        <v>482</v>
      </c>
      <c r="B50" s="11" t="str">
        <f t="shared" si="4"/>
        <v>Other efficacy and tolerance testing</v>
      </c>
      <c r="C50" s="11" t="str">
        <f t="shared" ref="C50:C52" si="7">CONCATENATE(B$7,": ",B50," [",A50,"]")</f>
        <v>Regulatory use and routine production: Other efficacy and tolerance testing [PR71]</v>
      </c>
      <c r="D50" s="58"/>
      <c r="E50" s="59"/>
      <c r="F50" s="59"/>
      <c r="G50" s="59"/>
      <c r="H50" s="59"/>
      <c r="I50" s="92" t="s">
        <v>478</v>
      </c>
      <c r="J50" s="59"/>
      <c r="K50" s="59"/>
      <c r="L50" s="59"/>
      <c r="M50" s="59"/>
      <c r="N50" s="59"/>
      <c r="O50" s="59"/>
      <c r="P50" s="59"/>
      <c r="Q50" s="59"/>
      <c r="R50" s="59"/>
      <c r="S50" s="59"/>
      <c r="T50" s="59"/>
      <c r="U50" s="59"/>
      <c r="V50" s="59"/>
      <c r="W50" s="59"/>
      <c r="X50" s="59"/>
      <c r="Y50" s="59"/>
      <c r="Z50" s="59"/>
      <c r="AA50" s="59"/>
      <c r="AB50" s="60"/>
    </row>
    <row r="51" spans="1:28" x14ac:dyDescent="0.45">
      <c r="A51" s="99" t="s">
        <v>483</v>
      </c>
      <c r="B51" s="11" t="str">
        <f t="shared" si="4"/>
        <v>Toxicity and other safety testing including pharmacology</v>
      </c>
      <c r="C51" s="11" t="str">
        <f t="shared" si="7"/>
        <v>Regulatory use and routine production: Toxicity and other safety testing including pharmacology [PRTS]</v>
      </c>
      <c r="D51" s="58"/>
      <c r="E51" s="59"/>
      <c r="F51" s="59"/>
      <c r="G51" s="59"/>
      <c r="H51" s="59"/>
      <c r="I51" s="92" t="s">
        <v>479</v>
      </c>
      <c r="J51" s="59"/>
      <c r="K51" s="59"/>
      <c r="L51" s="59"/>
      <c r="M51" s="59"/>
      <c r="N51" s="59"/>
      <c r="O51" s="59"/>
      <c r="P51" s="59"/>
      <c r="Q51" s="59"/>
      <c r="R51" s="59"/>
      <c r="S51" s="59"/>
      <c r="T51" s="59"/>
      <c r="U51" s="59"/>
      <c r="V51" s="59"/>
      <c r="W51" s="59"/>
      <c r="X51" s="59"/>
      <c r="Y51" s="59"/>
      <c r="Z51" s="59"/>
      <c r="AA51" s="59"/>
      <c r="AB51" s="60"/>
    </row>
    <row r="52" spans="1:28" x14ac:dyDescent="0.45">
      <c r="A52" s="99" t="s">
        <v>484</v>
      </c>
      <c r="B52" s="11" t="str">
        <f t="shared" si="4"/>
        <v>Routine production by product type</v>
      </c>
      <c r="C52" s="11" t="str">
        <f t="shared" si="7"/>
        <v>Regulatory use and routine production: Routine production by product type [PRRP]</v>
      </c>
      <c r="D52" s="58"/>
      <c r="E52" s="59"/>
      <c r="F52" s="59"/>
      <c r="G52" s="59"/>
      <c r="H52" s="59"/>
      <c r="I52" s="92" t="s">
        <v>480</v>
      </c>
      <c r="J52" s="59"/>
      <c r="K52" s="59"/>
      <c r="L52" s="59"/>
      <c r="M52" s="59"/>
      <c r="N52" s="59"/>
      <c r="O52" s="59"/>
      <c r="P52" s="59"/>
      <c r="Q52" s="59"/>
      <c r="R52" s="59"/>
      <c r="S52" s="59"/>
      <c r="T52" s="59"/>
      <c r="U52" s="59"/>
      <c r="V52" s="59"/>
      <c r="W52" s="59"/>
      <c r="X52" s="59"/>
      <c r="Y52" s="59"/>
      <c r="Z52" s="59"/>
      <c r="AA52" s="59"/>
      <c r="AB52" s="60"/>
    </row>
    <row r="53" spans="1:28" x14ac:dyDescent="0.45">
      <c r="A53" s="100" t="s">
        <v>485</v>
      </c>
      <c r="C53" s="11" t="str">
        <f>CONCATENATE(B$8," [",A53,"]")</f>
        <v>Protection of the natural environment in the interests of the health or welfare of human beings or animals [PE40]</v>
      </c>
      <c r="D53" s="58"/>
      <c r="E53" s="59"/>
      <c r="F53" s="59"/>
      <c r="G53" s="59"/>
      <c r="H53" s="59"/>
      <c r="I53" s="92"/>
      <c r="J53" s="59"/>
      <c r="K53" s="59"/>
      <c r="L53" s="59"/>
      <c r="M53" s="59"/>
      <c r="N53" s="59"/>
      <c r="O53" s="59"/>
      <c r="P53" s="59"/>
      <c r="Q53" s="59"/>
      <c r="R53" s="59"/>
      <c r="S53" s="59"/>
      <c r="T53" s="59"/>
      <c r="U53" s="59"/>
      <c r="V53" s="59"/>
      <c r="W53" s="59"/>
      <c r="X53" s="59"/>
      <c r="Y53" s="59"/>
      <c r="Z53" s="59"/>
      <c r="AA53" s="59"/>
      <c r="AB53" s="60"/>
    </row>
    <row r="54" spans="1:28" x14ac:dyDescent="0.45">
      <c r="A54" s="92" t="s">
        <v>486</v>
      </c>
      <c r="C54" s="11" t="str">
        <f>CONCATENATE(B$9," [",A54,"]")</f>
        <v>Preservation of species [PS41]</v>
      </c>
      <c r="D54" s="58"/>
      <c r="E54" s="59"/>
      <c r="F54" s="59"/>
      <c r="G54" s="59"/>
      <c r="H54" s="59"/>
      <c r="I54" s="92"/>
      <c r="J54" s="59"/>
      <c r="K54" s="59"/>
      <c r="L54" s="59"/>
      <c r="M54" s="59"/>
      <c r="N54" s="59"/>
      <c r="O54" s="59"/>
      <c r="P54" s="59"/>
      <c r="Q54" s="59"/>
      <c r="R54" s="59"/>
      <c r="S54" s="59"/>
      <c r="T54" s="59"/>
      <c r="U54" s="59"/>
      <c r="V54" s="59"/>
      <c r="W54" s="59"/>
      <c r="X54" s="59"/>
      <c r="Y54" s="59"/>
      <c r="Z54" s="59"/>
      <c r="AA54" s="59"/>
      <c r="AB54" s="60"/>
    </row>
    <row r="55" spans="1:28" x14ac:dyDescent="0.45">
      <c r="A55" s="93" t="s">
        <v>487</v>
      </c>
      <c r="C55" s="11" t="str">
        <f>CONCATENATE(B$10," [",A55,"]")</f>
        <v>Higher education [PE42-1]</v>
      </c>
      <c r="D55" s="58"/>
      <c r="E55" s="59"/>
      <c r="F55" s="59"/>
      <c r="G55" s="59"/>
      <c r="H55" s="59"/>
      <c r="I55" s="92"/>
      <c r="J55" s="59"/>
      <c r="K55" s="59"/>
      <c r="L55" s="59"/>
      <c r="M55" s="59"/>
      <c r="N55" s="59"/>
      <c r="O55" s="59"/>
      <c r="P55" s="59"/>
      <c r="Q55" s="59"/>
      <c r="R55" s="59"/>
      <c r="S55" s="59"/>
      <c r="T55" s="59"/>
      <c r="U55" s="59"/>
      <c r="V55" s="59"/>
      <c r="W55" s="59"/>
      <c r="X55" s="59"/>
      <c r="Y55" s="59"/>
      <c r="Z55" s="59"/>
      <c r="AA55" s="59"/>
      <c r="AB55" s="60"/>
    </row>
    <row r="56" spans="1:28" x14ac:dyDescent="0.45">
      <c r="A56" s="93" t="s">
        <v>488</v>
      </c>
      <c r="C56" s="11" t="str">
        <f>CONCATENATE(B$11," [",A56,"]")</f>
        <v>Training for the acquisition, maintenance or improvement of vocational skills [PE42-2]</v>
      </c>
      <c r="D56" s="58"/>
      <c r="E56" s="59"/>
      <c r="F56" s="59"/>
      <c r="G56" s="59"/>
      <c r="H56" s="59"/>
      <c r="I56" s="92"/>
      <c r="J56" s="59"/>
      <c r="K56" s="59"/>
      <c r="L56" s="59"/>
      <c r="M56" s="59"/>
      <c r="N56" s="59"/>
      <c r="O56" s="59"/>
      <c r="P56" s="59"/>
      <c r="Q56" s="59"/>
      <c r="R56" s="59"/>
      <c r="S56" s="59"/>
      <c r="T56" s="59"/>
      <c r="U56" s="59"/>
      <c r="V56" s="59"/>
      <c r="W56" s="59"/>
      <c r="X56" s="59"/>
      <c r="Y56" s="59"/>
      <c r="Z56" s="59"/>
      <c r="AA56" s="59"/>
      <c r="AB56" s="60"/>
    </row>
    <row r="57" spans="1:28" x14ac:dyDescent="0.45">
      <c r="A57" s="92" t="s">
        <v>489</v>
      </c>
      <c r="C57" s="11" t="str">
        <f>CONCATENATE(B$12," [",A57,"]")</f>
        <v>Forensic enquiries [PF43]</v>
      </c>
      <c r="D57" s="58"/>
      <c r="E57" s="59"/>
      <c r="F57" s="59"/>
      <c r="G57" s="59"/>
      <c r="H57" s="59"/>
      <c r="I57" s="92"/>
      <c r="J57" s="59"/>
      <c r="K57" s="59"/>
      <c r="L57" s="59"/>
      <c r="M57" s="59"/>
      <c r="N57" s="59"/>
      <c r="O57" s="59"/>
      <c r="P57" s="59"/>
      <c r="Q57" s="59"/>
      <c r="R57" s="59"/>
      <c r="S57" s="59"/>
      <c r="T57" s="59"/>
      <c r="U57" s="59"/>
      <c r="V57" s="59"/>
      <c r="W57" s="59"/>
      <c r="X57" s="59"/>
      <c r="Y57" s="59"/>
      <c r="Z57" s="59"/>
      <c r="AA57" s="59"/>
      <c r="AB57" s="60"/>
    </row>
    <row r="58" spans="1:28" x14ac:dyDescent="0.45">
      <c r="A58" s="92" t="s">
        <v>490</v>
      </c>
      <c r="C58" s="11" t="str">
        <f>CONCATENATE(B$13," [",A58,"]")</f>
        <v>Maintenance of colonies of established genetically altered animals, not used in other procedures [PG43]</v>
      </c>
      <c r="D58" s="58"/>
      <c r="E58" s="59"/>
      <c r="F58" s="59"/>
      <c r="G58" s="59"/>
      <c r="H58" s="59"/>
      <c r="I58" s="92"/>
      <c r="J58" s="59"/>
      <c r="K58" s="59"/>
      <c r="L58" s="59"/>
      <c r="M58" s="59"/>
      <c r="N58" s="59"/>
      <c r="O58" s="59"/>
      <c r="P58" s="59"/>
      <c r="Q58" s="59"/>
      <c r="R58" s="59"/>
      <c r="S58" s="59"/>
      <c r="T58" s="59"/>
      <c r="U58" s="59"/>
      <c r="V58" s="59"/>
      <c r="W58" s="59"/>
      <c r="X58" s="59"/>
      <c r="Y58" s="59"/>
      <c r="Z58" s="59"/>
      <c r="AA58" s="59"/>
      <c r="AB58" s="60"/>
    </row>
    <row r="59" spans="1:28" ht="14.65" thickBot="1" x14ac:dyDescent="0.5">
      <c r="A59" s="92" t="s">
        <v>544</v>
      </c>
      <c r="C59" s="11" t="str">
        <f>CONCATENATE(B$14," [",A59,"]")</f>
        <v>Non-EU Purpose [PN107]</v>
      </c>
      <c r="D59" s="61"/>
      <c r="E59" s="62"/>
      <c r="F59" s="62"/>
      <c r="G59" s="62"/>
      <c r="H59" s="62"/>
      <c r="I59" s="102"/>
      <c r="J59" s="62"/>
      <c r="K59" s="62"/>
      <c r="L59" s="62"/>
      <c r="M59" s="62"/>
      <c r="N59" s="62"/>
      <c r="O59" s="62"/>
      <c r="P59" s="62"/>
      <c r="Q59" s="62"/>
      <c r="R59" s="62"/>
      <c r="S59" s="62"/>
      <c r="T59" s="62"/>
      <c r="U59" s="62"/>
      <c r="V59" s="62"/>
      <c r="W59" s="62"/>
      <c r="X59" s="62"/>
      <c r="Y59" s="62"/>
      <c r="Z59" s="62"/>
      <c r="AA59" s="62"/>
      <c r="AB59" s="63"/>
    </row>
    <row r="60" spans="1:28" x14ac:dyDescent="0.45">
      <c r="D60" s="59"/>
      <c r="E60" s="59"/>
      <c r="F60" s="59"/>
      <c r="G60" s="59"/>
      <c r="H60" s="59"/>
      <c r="I60" s="92"/>
      <c r="J60" s="59"/>
      <c r="K60" s="59"/>
      <c r="L60" s="59"/>
      <c r="M60" s="59"/>
      <c r="N60" s="59"/>
      <c r="O60" s="59"/>
      <c r="P60" s="59"/>
      <c r="Q60" s="59"/>
      <c r="R60" s="59"/>
      <c r="S60" s="59"/>
      <c r="T60" s="59"/>
      <c r="U60" s="59"/>
      <c r="V60" s="59"/>
      <c r="W60" s="59"/>
      <c r="X60" s="59"/>
      <c r="Y60" s="59"/>
      <c r="Z60" s="59"/>
      <c r="AA60" s="59"/>
      <c r="AB60" s="59"/>
    </row>
    <row r="61" spans="1:28" ht="14.65" thickBot="1" x14ac:dyDescent="0.5"/>
    <row r="62" spans="1:28" s="1" customFormat="1" x14ac:dyDescent="0.45">
      <c r="A62" s="97" t="s">
        <v>8</v>
      </c>
      <c r="B62" s="97" t="s">
        <v>9</v>
      </c>
      <c r="C62" s="97" t="s">
        <v>10</v>
      </c>
      <c r="D62" s="15" t="str">
        <f t="shared" ref="D62:AB62" si="8">languages</f>
        <v>bg</v>
      </c>
      <c r="E62" s="16" t="str">
        <f t="shared" si="8"/>
        <v>cs</v>
      </c>
      <c r="F62" s="16" t="str">
        <f t="shared" si="8"/>
        <v>da</v>
      </c>
      <c r="G62" s="16" t="str">
        <f t="shared" si="8"/>
        <v>de</v>
      </c>
      <c r="H62" s="16" t="str">
        <f t="shared" si="8"/>
        <v>el</v>
      </c>
      <c r="I62" s="82" t="str">
        <f t="shared" si="8"/>
        <v>en</v>
      </c>
      <c r="J62" s="16" t="str">
        <f t="shared" si="8"/>
        <v>es</v>
      </c>
      <c r="K62" s="16" t="str">
        <f t="shared" si="8"/>
        <v>et</v>
      </c>
      <c r="L62" s="16" t="str">
        <f t="shared" si="8"/>
        <v>fi</v>
      </c>
      <c r="M62" s="16" t="str">
        <f t="shared" si="8"/>
        <v>fr</v>
      </c>
      <c r="N62" s="16" t="str">
        <f t="shared" si="8"/>
        <v>ga</v>
      </c>
      <c r="O62" s="16" t="str">
        <f t="shared" si="8"/>
        <v>hr</v>
      </c>
      <c r="P62" s="16" t="str">
        <f t="shared" si="8"/>
        <v>hu</v>
      </c>
      <c r="Q62" s="16" t="str">
        <f t="shared" si="8"/>
        <v>it</v>
      </c>
      <c r="R62" s="16" t="str">
        <f t="shared" si="8"/>
        <v>lt</v>
      </c>
      <c r="S62" s="16" t="str">
        <f t="shared" si="8"/>
        <v>lv</v>
      </c>
      <c r="T62" s="16" t="str">
        <f t="shared" si="8"/>
        <v>mt</v>
      </c>
      <c r="U62" s="16" t="str">
        <f t="shared" si="8"/>
        <v>nl</v>
      </c>
      <c r="V62" s="16" t="str">
        <f t="shared" si="8"/>
        <v>pl</v>
      </c>
      <c r="W62" s="16" t="str">
        <f t="shared" si="8"/>
        <v>pt</v>
      </c>
      <c r="X62" s="16" t="str">
        <f t="shared" si="8"/>
        <v>ro</v>
      </c>
      <c r="Y62" s="16" t="str">
        <f t="shared" si="8"/>
        <v>sk</v>
      </c>
      <c r="Z62" s="16" t="str">
        <f t="shared" si="8"/>
        <v>sl</v>
      </c>
      <c r="AA62" s="16" t="str">
        <f t="shared" si="8"/>
        <v>sv</v>
      </c>
      <c r="AB62" s="17" t="str">
        <f t="shared" si="8"/>
        <v>no</v>
      </c>
    </row>
    <row r="63" spans="1:28" x14ac:dyDescent="0.45">
      <c r="A63" s="11">
        <v>1</v>
      </c>
      <c r="B63" s="11" t="str">
        <f>IF(TRIM(HLOOKUP(language_or_default,choiceTranslations,MATCH(A63,choiceCode,0),FALSE))="",HLOOKUP("en",choiceTranslations,MATCH(A63,choiceCode,0),FALSE),HLOOKUP(language_or_default,choiceTranslations,MATCH(A63,choiceCode,0),FALSE))</f>
        <v>yes</v>
      </c>
      <c r="C63" s="11" t="str">
        <f>CONCATENATE(B63," ","[",A63,"]")</f>
        <v>yes [1]</v>
      </c>
      <c r="D63" s="58"/>
      <c r="E63" s="59"/>
      <c r="F63" s="59"/>
      <c r="G63" s="59"/>
      <c r="H63" s="59"/>
      <c r="I63" s="103" t="s">
        <v>4</v>
      </c>
      <c r="J63" s="59"/>
      <c r="K63" s="59"/>
      <c r="L63" s="59"/>
      <c r="M63" s="59"/>
      <c r="N63" s="59"/>
      <c r="O63" s="59"/>
      <c r="P63" s="59"/>
      <c r="Q63" s="59"/>
      <c r="R63" s="59"/>
      <c r="S63" s="59"/>
      <c r="T63" s="59"/>
      <c r="U63" s="59"/>
      <c r="V63" s="59"/>
      <c r="W63" s="59"/>
      <c r="X63" s="59"/>
      <c r="Y63" s="59"/>
      <c r="Z63" s="59"/>
      <c r="AA63" s="59"/>
      <c r="AB63" s="60"/>
    </row>
    <row r="64" spans="1:28" ht="14.65" thickBot="1" x14ac:dyDescent="0.5">
      <c r="A64" s="11">
        <v>0</v>
      </c>
      <c r="B64" s="11" t="str">
        <f>IF(TRIM(HLOOKUP(language_or_default,choiceTranslations,MATCH(A64,choiceCode,0),FALSE))="",HLOOKUP("en",choiceTranslations,MATCH(A64,choiceCode,0),FALSE),HLOOKUP(language_or_default,choiceTranslations,MATCH(A64,choiceCode,0),FALSE))</f>
        <v>no</v>
      </c>
      <c r="C64" s="11" t="str">
        <f>CONCATENATE(B64," ","[",A64,"]")</f>
        <v>no [0]</v>
      </c>
      <c r="D64" s="61"/>
      <c r="E64" s="62"/>
      <c r="F64" s="62"/>
      <c r="G64" s="62"/>
      <c r="H64" s="62"/>
      <c r="I64" s="104" t="s">
        <v>13</v>
      </c>
      <c r="J64" s="62"/>
      <c r="K64" s="62"/>
      <c r="L64" s="62"/>
      <c r="M64" s="62"/>
      <c r="N64" s="62"/>
      <c r="O64" s="66"/>
      <c r="P64" s="62"/>
      <c r="Q64" s="62"/>
      <c r="R64" s="62"/>
      <c r="S64" s="62"/>
      <c r="T64" s="62"/>
      <c r="U64" s="62"/>
      <c r="V64" s="62"/>
      <c r="W64" s="62"/>
      <c r="X64" s="62"/>
      <c r="Y64" s="62"/>
      <c r="Z64" s="62"/>
      <c r="AA64" s="62"/>
      <c r="AB64" s="63"/>
    </row>
    <row r="65" spans="1:29" ht="14.65" thickBot="1" x14ac:dyDescent="0.5">
      <c r="D65" s="9"/>
      <c r="E65" s="9"/>
      <c r="F65" s="9"/>
      <c r="G65" s="9"/>
      <c r="H65" s="9"/>
      <c r="I65" s="103"/>
      <c r="J65" s="9"/>
      <c r="K65" s="9"/>
      <c r="L65" s="9"/>
      <c r="M65" s="9"/>
      <c r="N65" s="9"/>
      <c r="O65" s="47"/>
      <c r="P65" s="9"/>
      <c r="Q65" s="9"/>
      <c r="R65" s="9"/>
      <c r="S65" s="9"/>
      <c r="T65" s="9"/>
      <c r="U65" s="9"/>
      <c r="V65" s="9"/>
      <c r="W65" s="9"/>
      <c r="X65" s="9"/>
      <c r="Y65" s="9"/>
      <c r="Z65" s="9"/>
      <c r="AA65" s="9"/>
      <c r="AB65" s="9"/>
    </row>
    <row r="66" spans="1:29" x14ac:dyDescent="0.45">
      <c r="A66" s="97" t="s">
        <v>189</v>
      </c>
      <c r="B66" s="97" t="s">
        <v>190</v>
      </c>
      <c r="C66" s="97" t="s">
        <v>191</v>
      </c>
      <c r="D66" s="15" t="str">
        <f t="shared" ref="D66:AB66" si="9">languages</f>
        <v>bg</v>
      </c>
      <c r="E66" s="16" t="str">
        <f t="shared" si="9"/>
        <v>cs</v>
      </c>
      <c r="F66" s="16" t="str">
        <f t="shared" si="9"/>
        <v>da</v>
      </c>
      <c r="G66" s="16" t="str">
        <f t="shared" si="9"/>
        <v>de</v>
      </c>
      <c r="H66" s="16" t="str">
        <f t="shared" si="9"/>
        <v>el</v>
      </c>
      <c r="I66" s="82" t="str">
        <f t="shared" si="9"/>
        <v>en</v>
      </c>
      <c r="J66" s="16" t="str">
        <f t="shared" si="9"/>
        <v>es</v>
      </c>
      <c r="K66" s="16" t="str">
        <f t="shared" si="9"/>
        <v>et</v>
      </c>
      <c r="L66" s="16" t="str">
        <f t="shared" si="9"/>
        <v>fi</v>
      </c>
      <c r="M66" s="16" t="str">
        <f t="shared" si="9"/>
        <v>fr</v>
      </c>
      <c r="N66" s="16" t="str">
        <f t="shared" si="9"/>
        <v>ga</v>
      </c>
      <c r="O66" s="16" t="str">
        <f t="shared" si="9"/>
        <v>hr</v>
      </c>
      <c r="P66" s="16" t="str">
        <f t="shared" si="9"/>
        <v>hu</v>
      </c>
      <c r="Q66" s="16" t="str">
        <f t="shared" si="9"/>
        <v>it</v>
      </c>
      <c r="R66" s="16" t="str">
        <f t="shared" si="9"/>
        <v>lt</v>
      </c>
      <c r="S66" s="16" t="str">
        <f t="shared" si="9"/>
        <v>lv</v>
      </c>
      <c r="T66" s="16" t="str">
        <f t="shared" si="9"/>
        <v>mt</v>
      </c>
      <c r="U66" s="16" t="str">
        <f t="shared" si="9"/>
        <v>nl</v>
      </c>
      <c r="V66" s="16" t="str">
        <f t="shared" si="9"/>
        <v>pl</v>
      </c>
      <c r="W66" s="16" t="str">
        <f t="shared" si="9"/>
        <v>pt</v>
      </c>
      <c r="X66" s="16" t="str">
        <f t="shared" si="9"/>
        <v>ro</v>
      </c>
      <c r="Y66" s="16" t="str">
        <f t="shared" si="9"/>
        <v>sk</v>
      </c>
      <c r="Z66" s="16" t="str">
        <f t="shared" si="9"/>
        <v>sl</v>
      </c>
      <c r="AA66" s="16" t="str">
        <f t="shared" si="9"/>
        <v>sv</v>
      </c>
      <c r="AB66" s="17" t="str">
        <f t="shared" si="9"/>
        <v>no</v>
      </c>
      <c r="AC66" s="1" t="s">
        <v>302</v>
      </c>
    </row>
    <row r="67" spans="1:29" x14ac:dyDescent="0.45">
      <c r="A67" s="11" t="s">
        <v>192</v>
      </c>
      <c r="B67" s="96" t="str">
        <f t="shared" ref="B67:B108" si="10">IF(TRIM(HLOOKUP(language_or_default,speciesTranslations,MATCH(A67,speciesCode,0),FALSE))="",HLOOKUP("en",speciesTranslations,MATCH(A67,speciesCode,0),FALSE),HLOOKUP(language_or_default,speciesTranslations,MATCH(A67,speciesCode,0),FALSE))</f>
        <v>Mice</v>
      </c>
      <c r="C67" s="96" t="str">
        <f>CONCATENATE(B67," (",AC67,") ","[",A67,"]")</f>
        <v>Mice (Mus musculus) [A1]</v>
      </c>
      <c r="D67" s="67"/>
      <c r="E67" s="64"/>
      <c r="F67" s="64"/>
      <c r="G67" s="64"/>
      <c r="H67" s="64"/>
      <c r="I67" s="103" t="s">
        <v>230</v>
      </c>
      <c r="J67" s="64"/>
      <c r="K67" s="64"/>
      <c r="L67" s="64"/>
      <c r="M67" s="64"/>
      <c r="N67" s="64"/>
      <c r="O67" s="64"/>
      <c r="P67" s="64"/>
      <c r="Q67" s="64"/>
      <c r="R67" s="64"/>
      <c r="S67" s="64"/>
      <c r="T67" s="64"/>
      <c r="U67" s="64"/>
      <c r="V67" s="64"/>
      <c r="W67" s="64"/>
      <c r="X67" s="64"/>
      <c r="Y67" s="64"/>
      <c r="Z67" s="64"/>
      <c r="AA67" s="64"/>
      <c r="AB67" s="68"/>
      <c r="AC67" s="48" t="s">
        <v>266</v>
      </c>
    </row>
    <row r="68" spans="1:29" x14ac:dyDescent="0.45">
      <c r="A68" s="11" t="s">
        <v>193</v>
      </c>
      <c r="B68" s="96" t="str">
        <f t="shared" si="10"/>
        <v>Rats</v>
      </c>
      <c r="C68" s="96" t="str">
        <f t="shared" ref="C68:C107" si="11">CONCATENATE(B68," (",AC68,") ","[",A68,"]")</f>
        <v>Rats (Rattus norvegicus) [A2]</v>
      </c>
      <c r="D68" s="67"/>
      <c r="E68" s="64"/>
      <c r="F68" s="64"/>
      <c r="G68" s="64"/>
      <c r="H68" s="64"/>
      <c r="I68" s="103" t="s">
        <v>231</v>
      </c>
      <c r="J68" s="64"/>
      <c r="K68" s="64"/>
      <c r="L68" s="64"/>
      <c r="M68" s="64"/>
      <c r="N68" s="64"/>
      <c r="O68" s="69"/>
      <c r="P68" s="64"/>
      <c r="Q68" s="64"/>
      <c r="R68" s="64"/>
      <c r="S68" s="64"/>
      <c r="T68" s="64"/>
      <c r="U68" s="64"/>
      <c r="V68" s="64"/>
      <c r="W68" s="64"/>
      <c r="X68" s="64"/>
      <c r="Y68" s="64"/>
      <c r="Z68" s="64"/>
      <c r="AA68" s="64"/>
      <c r="AB68" s="68"/>
      <c r="AC68" t="s">
        <v>267</v>
      </c>
    </row>
    <row r="69" spans="1:29" x14ac:dyDescent="0.45">
      <c r="A69" s="11" t="s">
        <v>194</v>
      </c>
      <c r="B69" s="96" t="str">
        <f t="shared" si="10"/>
        <v>Guinea-Pigs</v>
      </c>
      <c r="C69" s="96" t="str">
        <f t="shared" si="11"/>
        <v>Guinea-Pigs (Cavia porcellus) [A3]</v>
      </c>
      <c r="D69" s="67"/>
      <c r="E69" s="64"/>
      <c r="F69" s="64"/>
      <c r="G69" s="64"/>
      <c r="H69" s="64"/>
      <c r="I69" s="103" t="s">
        <v>232</v>
      </c>
      <c r="J69" s="64"/>
      <c r="K69" s="64"/>
      <c r="L69" s="64"/>
      <c r="M69" s="64"/>
      <c r="N69" s="64"/>
      <c r="O69" s="64"/>
      <c r="P69" s="64"/>
      <c r="Q69" s="64"/>
      <c r="R69" s="64"/>
      <c r="S69" s="64"/>
      <c r="T69" s="64"/>
      <c r="U69" s="64"/>
      <c r="V69" s="64"/>
      <c r="W69" s="64"/>
      <c r="X69" s="64"/>
      <c r="Y69" s="64"/>
      <c r="Z69" s="64"/>
      <c r="AA69" s="64"/>
      <c r="AB69" s="68"/>
      <c r="AC69" t="s">
        <v>268</v>
      </c>
    </row>
    <row r="70" spans="1:29" x14ac:dyDescent="0.45">
      <c r="A70" s="11" t="s">
        <v>195</v>
      </c>
      <c r="B70" s="96" t="str">
        <f t="shared" si="10"/>
        <v>Hamsters (Syrian)</v>
      </c>
      <c r="C70" s="96" t="str">
        <f t="shared" si="11"/>
        <v>Hamsters (Syrian) (Mesocricetus auratus) [A4]</v>
      </c>
      <c r="D70" s="67"/>
      <c r="E70" s="64"/>
      <c r="F70" s="64"/>
      <c r="G70" s="64"/>
      <c r="H70" s="64"/>
      <c r="I70" s="103" t="s">
        <v>233</v>
      </c>
      <c r="J70" s="64"/>
      <c r="K70" s="64"/>
      <c r="L70" s="64"/>
      <c r="M70" s="64"/>
      <c r="N70" s="64"/>
      <c r="O70" s="64"/>
      <c r="P70" s="64"/>
      <c r="Q70" s="64"/>
      <c r="R70" s="64"/>
      <c r="S70" s="64"/>
      <c r="T70" s="64"/>
      <c r="U70" s="64"/>
      <c r="V70" s="64"/>
      <c r="W70" s="64"/>
      <c r="X70" s="64"/>
      <c r="Y70" s="64"/>
      <c r="Z70" s="64"/>
      <c r="AA70" s="64"/>
      <c r="AB70" s="68"/>
      <c r="AC70" t="s">
        <v>269</v>
      </c>
    </row>
    <row r="71" spans="1:29" x14ac:dyDescent="0.45">
      <c r="A71" s="11" t="s">
        <v>196</v>
      </c>
      <c r="B71" s="96" t="str">
        <f t="shared" si="10"/>
        <v>Hamsters (Chinese)</v>
      </c>
      <c r="C71" s="96" t="str">
        <f t="shared" si="11"/>
        <v>Hamsters (Chinese) (Cricetulus griseus) [A5]</v>
      </c>
      <c r="D71" s="67"/>
      <c r="E71" s="64"/>
      <c r="F71" s="64"/>
      <c r="G71" s="64"/>
      <c r="H71" s="64"/>
      <c r="I71" s="103" t="s">
        <v>234</v>
      </c>
      <c r="J71" s="64"/>
      <c r="K71" s="64"/>
      <c r="L71" s="64"/>
      <c r="M71" s="64"/>
      <c r="N71" s="64"/>
      <c r="O71" s="64"/>
      <c r="P71" s="64"/>
      <c r="Q71" s="64"/>
      <c r="R71" s="64"/>
      <c r="S71" s="64"/>
      <c r="T71" s="64"/>
      <c r="U71" s="64"/>
      <c r="V71" s="64"/>
      <c r="W71" s="64"/>
      <c r="X71" s="64"/>
      <c r="Y71" s="64"/>
      <c r="Z71" s="64"/>
      <c r="AA71" s="64"/>
      <c r="AB71" s="68"/>
      <c r="AC71" t="s">
        <v>270</v>
      </c>
    </row>
    <row r="72" spans="1:29" x14ac:dyDescent="0.45">
      <c r="A72" s="11" t="s">
        <v>197</v>
      </c>
      <c r="B72" s="96" t="str">
        <f t="shared" si="10"/>
        <v>Mongolian gerbil</v>
      </c>
      <c r="C72" s="96" t="str">
        <f t="shared" si="11"/>
        <v>Mongolian gerbil (Meriones unguiculatus) [A6]</v>
      </c>
      <c r="D72" s="67"/>
      <c r="E72" s="64"/>
      <c r="F72" s="64"/>
      <c r="G72" s="64"/>
      <c r="H72" s="64"/>
      <c r="I72" s="103" t="s">
        <v>235</v>
      </c>
      <c r="J72" s="64"/>
      <c r="K72" s="64"/>
      <c r="L72" s="64"/>
      <c r="M72" s="64"/>
      <c r="N72" s="64"/>
      <c r="O72" s="64"/>
      <c r="P72" s="64"/>
      <c r="Q72" s="64"/>
      <c r="R72" s="64"/>
      <c r="S72" s="64"/>
      <c r="T72" s="64"/>
      <c r="U72" s="64"/>
      <c r="V72" s="64"/>
      <c r="W72" s="64"/>
      <c r="X72" s="64"/>
      <c r="Y72" s="64"/>
      <c r="Z72" s="64"/>
      <c r="AA72" s="64"/>
      <c r="AB72" s="68"/>
      <c r="AC72" t="s">
        <v>271</v>
      </c>
    </row>
    <row r="73" spans="1:29" x14ac:dyDescent="0.45">
      <c r="A73" s="11" t="s">
        <v>198</v>
      </c>
      <c r="B73" s="96" t="str">
        <f t="shared" si="10"/>
        <v>Other rodents</v>
      </c>
      <c r="C73" s="96" t="str">
        <f t="shared" si="11"/>
        <v>Other rodents (other Rodentia) [A7]</v>
      </c>
      <c r="D73" s="67"/>
      <c r="E73" s="64"/>
      <c r="F73" s="64"/>
      <c r="G73" s="64"/>
      <c r="H73" s="64"/>
      <c r="I73" s="103" t="s">
        <v>236</v>
      </c>
      <c r="J73" s="64"/>
      <c r="K73" s="64"/>
      <c r="L73" s="64"/>
      <c r="M73" s="64"/>
      <c r="N73" s="64"/>
      <c r="O73" s="64"/>
      <c r="P73" s="64"/>
      <c r="Q73" s="64"/>
      <c r="R73" s="64"/>
      <c r="S73" s="64"/>
      <c r="T73" s="64"/>
      <c r="U73" s="64"/>
      <c r="V73" s="64"/>
      <c r="W73" s="64"/>
      <c r="X73" s="64"/>
      <c r="Y73" s="64"/>
      <c r="Z73" s="64"/>
      <c r="AA73" s="64"/>
      <c r="AB73" s="68"/>
      <c r="AC73" t="s">
        <v>272</v>
      </c>
    </row>
    <row r="74" spans="1:29" x14ac:dyDescent="0.45">
      <c r="A74" s="11" t="s">
        <v>199</v>
      </c>
      <c r="B74" s="96" t="str">
        <f t="shared" si="10"/>
        <v>Rabbits</v>
      </c>
      <c r="C74" s="96" t="str">
        <f t="shared" si="11"/>
        <v>Rabbits (Oryctolagus cuniculus) [A8]</v>
      </c>
      <c r="D74" s="67"/>
      <c r="E74" s="64"/>
      <c r="F74" s="64"/>
      <c r="G74" s="64"/>
      <c r="H74" s="64"/>
      <c r="I74" s="103" t="s">
        <v>237</v>
      </c>
      <c r="J74" s="64"/>
      <c r="K74" s="64"/>
      <c r="L74" s="64"/>
      <c r="M74" s="64"/>
      <c r="N74" s="64"/>
      <c r="O74" s="64"/>
      <c r="P74" s="64"/>
      <c r="Q74" s="64"/>
      <c r="R74" s="64"/>
      <c r="S74" s="64"/>
      <c r="T74" s="64"/>
      <c r="U74" s="64"/>
      <c r="V74" s="64"/>
      <c r="W74" s="64"/>
      <c r="X74" s="64"/>
      <c r="Y74" s="64"/>
      <c r="Z74" s="64"/>
      <c r="AA74" s="64"/>
      <c r="AB74" s="68"/>
      <c r="AC74" t="s">
        <v>273</v>
      </c>
    </row>
    <row r="75" spans="1:29" x14ac:dyDescent="0.45">
      <c r="A75" s="11" t="s">
        <v>200</v>
      </c>
      <c r="B75" s="96" t="str">
        <f t="shared" si="10"/>
        <v>Cats</v>
      </c>
      <c r="C75" s="96" t="str">
        <f t="shared" si="11"/>
        <v>Cats (Felis catus) [A9]</v>
      </c>
      <c r="D75" s="67"/>
      <c r="E75" s="64"/>
      <c r="F75" s="64"/>
      <c r="G75" s="64"/>
      <c r="H75" s="64"/>
      <c r="I75" s="103" t="s">
        <v>238</v>
      </c>
      <c r="J75" s="64"/>
      <c r="K75" s="64"/>
      <c r="L75" s="64"/>
      <c r="M75" s="64"/>
      <c r="N75" s="64"/>
      <c r="O75" s="64"/>
      <c r="P75" s="64"/>
      <c r="Q75" s="64"/>
      <c r="R75" s="64"/>
      <c r="S75" s="64"/>
      <c r="T75" s="64"/>
      <c r="U75" s="64"/>
      <c r="V75" s="64"/>
      <c r="W75" s="64"/>
      <c r="X75" s="64"/>
      <c r="Y75" s="64"/>
      <c r="Z75" s="64"/>
      <c r="AA75" s="64"/>
      <c r="AB75" s="68"/>
      <c r="AC75" t="s">
        <v>274</v>
      </c>
    </row>
    <row r="76" spans="1:29" x14ac:dyDescent="0.45">
      <c r="A76" s="11" t="s">
        <v>201</v>
      </c>
      <c r="B76" s="96" t="str">
        <f t="shared" si="10"/>
        <v>Dogs</v>
      </c>
      <c r="C76" s="96" t="str">
        <f t="shared" si="11"/>
        <v>Dogs (Canis familiaris) [A10]</v>
      </c>
      <c r="D76" s="67"/>
      <c r="E76" s="64"/>
      <c r="F76" s="64"/>
      <c r="G76" s="64"/>
      <c r="H76" s="64"/>
      <c r="I76" s="103" t="s">
        <v>239</v>
      </c>
      <c r="J76" s="64"/>
      <c r="K76" s="64"/>
      <c r="L76" s="64"/>
      <c r="M76" s="64"/>
      <c r="N76" s="64"/>
      <c r="O76" s="64"/>
      <c r="P76" s="64"/>
      <c r="Q76" s="64"/>
      <c r="R76" s="64"/>
      <c r="S76" s="64"/>
      <c r="T76" s="64"/>
      <c r="U76" s="64"/>
      <c r="V76" s="64"/>
      <c r="W76" s="64"/>
      <c r="X76" s="64"/>
      <c r="Y76" s="64"/>
      <c r="Z76" s="64"/>
      <c r="AA76" s="64"/>
      <c r="AB76" s="68"/>
      <c r="AC76" t="s">
        <v>275</v>
      </c>
    </row>
    <row r="77" spans="1:29" x14ac:dyDescent="0.45">
      <c r="A77" s="11" t="s">
        <v>202</v>
      </c>
      <c r="B77" s="96" t="str">
        <f t="shared" si="10"/>
        <v>Ferrets</v>
      </c>
      <c r="C77" s="96" t="str">
        <f t="shared" si="11"/>
        <v>Ferrets (Mustela putorius furo) [A11]</v>
      </c>
      <c r="D77" s="67"/>
      <c r="E77" s="64"/>
      <c r="F77" s="64"/>
      <c r="G77" s="64"/>
      <c r="H77" s="64"/>
      <c r="I77" s="103" t="s">
        <v>240</v>
      </c>
      <c r="J77" s="64"/>
      <c r="K77" s="64"/>
      <c r="L77" s="64"/>
      <c r="M77" s="64"/>
      <c r="N77" s="64"/>
      <c r="O77" s="64"/>
      <c r="P77" s="64"/>
      <c r="Q77" s="64"/>
      <c r="R77" s="64"/>
      <c r="S77" s="64"/>
      <c r="T77" s="64"/>
      <c r="U77" s="64"/>
      <c r="V77" s="64"/>
      <c r="W77" s="64"/>
      <c r="X77" s="64"/>
      <c r="Y77" s="64"/>
      <c r="Z77" s="64"/>
      <c r="AA77" s="64"/>
      <c r="AB77" s="68"/>
      <c r="AC77" t="s">
        <v>276</v>
      </c>
    </row>
    <row r="78" spans="1:29" x14ac:dyDescent="0.45">
      <c r="A78" s="11" t="s">
        <v>203</v>
      </c>
      <c r="B78" s="96" t="str">
        <f t="shared" si="10"/>
        <v>Other carnivores</v>
      </c>
      <c r="C78" s="96" t="str">
        <f t="shared" si="11"/>
        <v>Other carnivores (other Carnivora) [A12]</v>
      </c>
      <c r="D78" s="67"/>
      <c r="E78" s="64"/>
      <c r="F78" s="64"/>
      <c r="G78" s="64"/>
      <c r="H78" s="64"/>
      <c r="I78" s="103" t="s">
        <v>241</v>
      </c>
      <c r="J78" s="64"/>
      <c r="K78" s="64"/>
      <c r="L78" s="64"/>
      <c r="M78" s="64"/>
      <c r="N78" s="64"/>
      <c r="O78" s="64"/>
      <c r="P78" s="64"/>
      <c r="Q78" s="64"/>
      <c r="R78" s="64"/>
      <c r="S78" s="64"/>
      <c r="T78" s="64"/>
      <c r="U78" s="64"/>
      <c r="V78" s="64"/>
      <c r="W78" s="64"/>
      <c r="X78" s="64"/>
      <c r="Y78" s="64"/>
      <c r="Z78" s="64"/>
      <c r="AA78" s="64"/>
      <c r="AB78" s="68"/>
      <c r="AC78" t="s">
        <v>277</v>
      </c>
    </row>
    <row r="79" spans="1:29" x14ac:dyDescent="0.45">
      <c r="A79" s="11" t="s">
        <v>204</v>
      </c>
      <c r="B79" s="96" t="str">
        <f t="shared" si="10"/>
        <v>Horses, donkeys and cross-breeds</v>
      </c>
      <c r="C79" s="96" t="str">
        <f t="shared" si="11"/>
        <v>Horses, donkeys and cross-breeds (Equidae) [A13]</v>
      </c>
      <c r="D79" s="67"/>
      <c r="E79" s="64"/>
      <c r="F79" s="64"/>
      <c r="G79" s="64"/>
      <c r="H79" s="64"/>
      <c r="I79" s="103" t="s">
        <v>242</v>
      </c>
      <c r="J79" s="64"/>
      <c r="K79" s="64"/>
      <c r="L79" s="64"/>
      <c r="M79" s="64"/>
      <c r="N79" s="64"/>
      <c r="O79" s="64"/>
      <c r="P79" s="64"/>
      <c r="Q79" s="64"/>
      <c r="R79" s="64"/>
      <c r="S79" s="64"/>
      <c r="T79" s="64"/>
      <c r="U79" s="64"/>
      <c r="V79" s="64"/>
      <c r="W79" s="64"/>
      <c r="X79" s="64"/>
      <c r="Y79" s="64"/>
      <c r="Z79" s="64"/>
      <c r="AA79" s="64"/>
      <c r="AB79" s="68"/>
      <c r="AC79" t="s">
        <v>278</v>
      </c>
    </row>
    <row r="80" spans="1:29" x14ac:dyDescent="0.45">
      <c r="A80" s="11" t="s">
        <v>205</v>
      </c>
      <c r="B80" s="96" t="str">
        <f t="shared" si="10"/>
        <v>Pigs</v>
      </c>
      <c r="C80" s="96" t="str">
        <f t="shared" si="11"/>
        <v>Pigs (Sus scrofa domesticus) [A14]</v>
      </c>
      <c r="D80" s="67"/>
      <c r="E80" s="64"/>
      <c r="F80" s="64"/>
      <c r="G80" s="64"/>
      <c r="H80" s="64"/>
      <c r="I80" s="103" t="s">
        <v>243</v>
      </c>
      <c r="J80" s="64"/>
      <c r="K80" s="64"/>
      <c r="L80" s="64"/>
      <c r="M80" s="64"/>
      <c r="N80" s="64"/>
      <c r="O80" s="64"/>
      <c r="P80" s="64"/>
      <c r="Q80" s="64"/>
      <c r="R80" s="64"/>
      <c r="S80" s="64"/>
      <c r="T80" s="64"/>
      <c r="U80" s="64"/>
      <c r="V80" s="64"/>
      <c r="W80" s="64"/>
      <c r="X80" s="64"/>
      <c r="Y80" s="64"/>
      <c r="Z80" s="64"/>
      <c r="AA80" s="64"/>
      <c r="AB80" s="68"/>
      <c r="AC80" t="s">
        <v>279</v>
      </c>
    </row>
    <row r="81" spans="1:29" x14ac:dyDescent="0.45">
      <c r="A81" s="11" t="s">
        <v>206</v>
      </c>
      <c r="B81" s="96" t="str">
        <f t="shared" si="10"/>
        <v>Goats</v>
      </c>
      <c r="C81" s="96" t="str">
        <f t="shared" si="11"/>
        <v>Goats (Capra aegagrus hircus) [A15]</v>
      </c>
      <c r="D81" s="67"/>
      <c r="E81" s="64"/>
      <c r="F81" s="64"/>
      <c r="G81" s="64"/>
      <c r="H81" s="64"/>
      <c r="I81" s="103" t="s">
        <v>244</v>
      </c>
      <c r="J81" s="64"/>
      <c r="K81" s="64"/>
      <c r="L81" s="64"/>
      <c r="M81" s="64"/>
      <c r="N81" s="64"/>
      <c r="O81" s="64"/>
      <c r="P81" s="64"/>
      <c r="Q81" s="64"/>
      <c r="R81" s="64"/>
      <c r="S81" s="64"/>
      <c r="T81" s="64"/>
      <c r="U81" s="64"/>
      <c r="V81" s="64"/>
      <c r="W81" s="64"/>
      <c r="X81" s="64"/>
      <c r="Y81" s="64"/>
      <c r="Z81" s="64"/>
      <c r="AA81" s="64"/>
      <c r="AB81" s="68"/>
      <c r="AC81" t="s">
        <v>280</v>
      </c>
    </row>
    <row r="82" spans="1:29" x14ac:dyDescent="0.45">
      <c r="A82" s="11" t="s">
        <v>207</v>
      </c>
      <c r="B82" s="96" t="str">
        <f t="shared" si="10"/>
        <v>Sheep</v>
      </c>
      <c r="C82" s="96" t="str">
        <f t="shared" si="11"/>
        <v>Sheep (Ovis aries) [A16]</v>
      </c>
      <c r="D82" s="67"/>
      <c r="E82" s="64"/>
      <c r="F82" s="64"/>
      <c r="G82" s="64"/>
      <c r="H82" s="64"/>
      <c r="I82" s="103" t="s">
        <v>245</v>
      </c>
      <c r="J82" s="64"/>
      <c r="K82" s="64"/>
      <c r="L82" s="64"/>
      <c r="M82" s="64"/>
      <c r="N82" s="64"/>
      <c r="O82" s="64"/>
      <c r="P82" s="64"/>
      <c r="Q82" s="64"/>
      <c r="R82" s="64"/>
      <c r="S82" s="64"/>
      <c r="T82" s="64"/>
      <c r="U82" s="64"/>
      <c r="V82" s="64"/>
      <c r="W82" s="64"/>
      <c r="X82" s="64"/>
      <c r="Y82" s="64"/>
      <c r="Z82" s="64"/>
      <c r="AA82" s="64"/>
      <c r="AB82" s="68"/>
      <c r="AC82" t="s">
        <v>281</v>
      </c>
    </row>
    <row r="83" spans="1:29" x14ac:dyDescent="0.45">
      <c r="A83" s="11" t="s">
        <v>208</v>
      </c>
      <c r="B83" s="96" t="str">
        <f t="shared" si="10"/>
        <v>Cattle</v>
      </c>
      <c r="C83" s="96" t="str">
        <f t="shared" si="11"/>
        <v>Cattle (Bos taurus) [A17]</v>
      </c>
      <c r="D83" s="67"/>
      <c r="E83" s="64"/>
      <c r="F83" s="64"/>
      <c r="G83" s="64"/>
      <c r="H83" s="64"/>
      <c r="I83" s="103" t="s">
        <v>246</v>
      </c>
      <c r="J83" s="64"/>
      <c r="K83" s="64"/>
      <c r="L83" s="64"/>
      <c r="M83" s="64"/>
      <c r="N83" s="64"/>
      <c r="O83" s="64"/>
      <c r="P83" s="64"/>
      <c r="Q83" s="64"/>
      <c r="R83" s="64"/>
      <c r="S83" s="64"/>
      <c r="T83" s="64"/>
      <c r="U83" s="64"/>
      <c r="V83" s="64"/>
      <c r="W83" s="64"/>
      <c r="X83" s="64"/>
      <c r="Y83" s="64"/>
      <c r="Z83" s="64"/>
      <c r="AA83" s="64"/>
      <c r="AB83" s="68"/>
      <c r="AC83" t="s">
        <v>371</v>
      </c>
    </row>
    <row r="84" spans="1:29" x14ac:dyDescent="0.45">
      <c r="A84" s="11" t="s">
        <v>209</v>
      </c>
      <c r="B84" s="96" t="str">
        <f t="shared" si="10"/>
        <v>Prosimians</v>
      </c>
      <c r="C84" s="96" t="str">
        <f t="shared" si="11"/>
        <v>Prosimians (Prosimia) [A18]</v>
      </c>
      <c r="D84" s="67"/>
      <c r="E84" s="64"/>
      <c r="F84" s="64"/>
      <c r="G84" s="64"/>
      <c r="H84" s="64"/>
      <c r="I84" s="103" t="s">
        <v>247</v>
      </c>
      <c r="J84" s="64"/>
      <c r="K84" s="64"/>
      <c r="L84" s="64"/>
      <c r="M84" s="64"/>
      <c r="N84" s="64"/>
      <c r="O84" s="64"/>
      <c r="P84" s="64"/>
      <c r="Q84" s="64"/>
      <c r="R84" s="64"/>
      <c r="S84" s="64"/>
      <c r="T84" s="64"/>
      <c r="U84" s="64"/>
      <c r="V84" s="64"/>
      <c r="W84" s="64"/>
      <c r="X84" s="64"/>
      <c r="Y84" s="64"/>
      <c r="Z84" s="64"/>
      <c r="AA84" s="64"/>
      <c r="AB84" s="68"/>
      <c r="AC84" t="s">
        <v>282</v>
      </c>
    </row>
    <row r="85" spans="1:29" x14ac:dyDescent="0.45">
      <c r="A85" s="11" t="s">
        <v>210</v>
      </c>
      <c r="B85" s="96" t="str">
        <f t="shared" si="10"/>
        <v>Marmoset and tamarins</v>
      </c>
      <c r="C85" s="96" t="str">
        <f t="shared" si="11"/>
        <v>Marmoset and tamarins (Callithrix jacchus) [A19]</v>
      </c>
      <c r="D85" s="67"/>
      <c r="E85" s="64"/>
      <c r="F85" s="64"/>
      <c r="G85" s="64"/>
      <c r="H85" s="64"/>
      <c r="I85" s="103" t="s">
        <v>248</v>
      </c>
      <c r="J85" s="64"/>
      <c r="K85" s="64"/>
      <c r="L85" s="64"/>
      <c r="M85" s="64"/>
      <c r="N85" s="64"/>
      <c r="O85" s="64"/>
      <c r="P85" s="64"/>
      <c r="Q85" s="64"/>
      <c r="R85" s="64"/>
      <c r="S85" s="64"/>
      <c r="T85" s="64"/>
      <c r="U85" s="64"/>
      <c r="V85" s="64"/>
      <c r="W85" s="64"/>
      <c r="X85" s="64"/>
      <c r="Y85" s="64"/>
      <c r="Z85" s="64"/>
      <c r="AA85" s="64"/>
      <c r="AB85" s="68"/>
      <c r="AC85" t="s">
        <v>283</v>
      </c>
    </row>
    <row r="86" spans="1:29" x14ac:dyDescent="0.45">
      <c r="A86" s="11" t="s">
        <v>211</v>
      </c>
      <c r="B86" s="96" t="str">
        <f t="shared" si="10"/>
        <v>Cynomolgus monkey</v>
      </c>
      <c r="C86" s="96" t="str">
        <f t="shared" si="11"/>
        <v>Cynomolgus monkey (Macaca fascicularis) [A20]</v>
      </c>
      <c r="D86" s="67"/>
      <c r="E86" s="64"/>
      <c r="F86" s="64"/>
      <c r="G86" s="64"/>
      <c r="H86" s="64"/>
      <c r="I86" s="103" t="s">
        <v>249</v>
      </c>
      <c r="J86" s="64"/>
      <c r="K86" s="64"/>
      <c r="L86" s="64"/>
      <c r="M86" s="64"/>
      <c r="N86" s="64"/>
      <c r="O86" s="64"/>
      <c r="P86" s="64"/>
      <c r="Q86" s="64"/>
      <c r="R86" s="64"/>
      <c r="S86" s="64"/>
      <c r="T86" s="64"/>
      <c r="U86" s="64"/>
      <c r="V86" s="64"/>
      <c r="W86" s="64"/>
      <c r="X86" s="64"/>
      <c r="Y86" s="64"/>
      <c r="Z86" s="64"/>
      <c r="AA86" s="64"/>
      <c r="AB86" s="68"/>
      <c r="AC86" t="s">
        <v>284</v>
      </c>
    </row>
    <row r="87" spans="1:29" x14ac:dyDescent="0.45">
      <c r="A87" s="11" t="s">
        <v>212</v>
      </c>
      <c r="B87" s="96" t="str">
        <f t="shared" si="10"/>
        <v>Rhesus monkey</v>
      </c>
      <c r="C87" s="96" t="str">
        <f t="shared" si="11"/>
        <v>Rhesus monkey (Macaca mulatta) [A21]</v>
      </c>
      <c r="D87" s="67"/>
      <c r="E87" s="64"/>
      <c r="F87" s="64"/>
      <c r="G87" s="64"/>
      <c r="H87" s="64"/>
      <c r="I87" s="103" t="s">
        <v>250</v>
      </c>
      <c r="J87" s="64"/>
      <c r="K87" s="64"/>
      <c r="L87" s="64"/>
      <c r="M87" s="64"/>
      <c r="N87" s="64"/>
      <c r="O87" s="64"/>
      <c r="P87" s="64"/>
      <c r="Q87" s="64"/>
      <c r="R87" s="64"/>
      <c r="S87" s="64"/>
      <c r="T87" s="64"/>
      <c r="U87" s="64"/>
      <c r="V87" s="64"/>
      <c r="W87" s="64"/>
      <c r="X87" s="64"/>
      <c r="Y87" s="64"/>
      <c r="Z87" s="64"/>
      <c r="AA87" s="64"/>
      <c r="AB87" s="68"/>
      <c r="AC87" t="s">
        <v>285</v>
      </c>
    </row>
    <row r="88" spans="1:29" x14ac:dyDescent="0.45">
      <c r="A88" s="11" t="s">
        <v>213</v>
      </c>
      <c r="B88" s="96" t="str">
        <f t="shared" si="10"/>
        <v>Vervets (Chlorocebus spp.)</v>
      </c>
      <c r="C88" s="96" t="str">
        <f t="shared" si="11"/>
        <v>Vervets (Chlorocebus spp.) (usually either pygerythrus or sabaeus) [A22]</v>
      </c>
      <c r="D88" s="67"/>
      <c r="E88" s="64"/>
      <c r="F88" s="64"/>
      <c r="G88" s="64"/>
      <c r="H88" s="64"/>
      <c r="I88" s="103" t="s">
        <v>251</v>
      </c>
      <c r="J88" s="64"/>
      <c r="K88" s="64"/>
      <c r="L88" s="64"/>
      <c r="M88" s="64"/>
      <c r="N88" s="64"/>
      <c r="O88" s="64"/>
      <c r="P88" s="64"/>
      <c r="Q88" s="64"/>
      <c r="R88" s="64"/>
      <c r="S88" s="64"/>
      <c r="T88" s="64"/>
      <c r="U88" s="64"/>
      <c r="V88" s="64"/>
      <c r="W88" s="64"/>
      <c r="X88" s="64"/>
      <c r="Y88" s="64"/>
      <c r="Z88" s="64"/>
      <c r="AA88" s="64"/>
      <c r="AB88" s="68"/>
      <c r="AC88" t="s">
        <v>286</v>
      </c>
    </row>
    <row r="89" spans="1:29" x14ac:dyDescent="0.45">
      <c r="A89" s="11" t="s">
        <v>214</v>
      </c>
      <c r="B89" s="96" t="str">
        <f t="shared" si="10"/>
        <v>Baboons</v>
      </c>
      <c r="C89" s="96" t="str">
        <f t="shared" si="11"/>
        <v>Baboons (Papio spp.) [A23]</v>
      </c>
      <c r="D89" s="67"/>
      <c r="E89" s="64"/>
      <c r="F89" s="64"/>
      <c r="G89" s="64"/>
      <c r="H89" s="64"/>
      <c r="I89" s="103" t="s">
        <v>252</v>
      </c>
      <c r="J89" s="64"/>
      <c r="K89" s="64"/>
      <c r="L89" s="64"/>
      <c r="M89" s="64"/>
      <c r="N89" s="64"/>
      <c r="O89" s="64"/>
      <c r="P89" s="64"/>
      <c r="Q89" s="64"/>
      <c r="R89" s="64"/>
      <c r="S89" s="64"/>
      <c r="T89" s="64"/>
      <c r="U89" s="64"/>
      <c r="V89" s="64"/>
      <c r="W89" s="64"/>
      <c r="X89" s="64"/>
      <c r="Y89" s="64"/>
      <c r="Z89" s="64"/>
      <c r="AA89" s="64"/>
      <c r="AB89" s="68"/>
      <c r="AC89" t="s">
        <v>287</v>
      </c>
    </row>
    <row r="90" spans="1:29" x14ac:dyDescent="0.45">
      <c r="A90" s="11" t="s">
        <v>215</v>
      </c>
      <c r="B90" s="96" t="str">
        <f t="shared" si="10"/>
        <v>Squirrel monkey</v>
      </c>
      <c r="C90" s="96" t="str">
        <f t="shared" si="11"/>
        <v>Squirrel monkey (Saimiri sciureus) [A24]</v>
      </c>
      <c r="D90" s="67"/>
      <c r="E90" s="64"/>
      <c r="F90" s="64"/>
      <c r="G90" s="64"/>
      <c r="H90" s="64"/>
      <c r="I90" s="103" t="s">
        <v>253</v>
      </c>
      <c r="J90" s="64"/>
      <c r="K90" s="64"/>
      <c r="L90" s="64"/>
      <c r="M90" s="64"/>
      <c r="N90" s="64"/>
      <c r="O90" s="64"/>
      <c r="P90" s="64"/>
      <c r="Q90" s="64"/>
      <c r="R90" s="64"/>
      <c r="S90" s="64"/>
      <c r="T90" s="64"/>
      <c r="U90" s="64"/>
      <c r="V90" s="64"/>
      <c r="W90" s="64"/>
      <c r="X90" s="64"/>
      <c r="Y90" s="64"/>
      <c r="Z90" s="64"/>
      <c r="AA90" s="64"/>
      <c r="AB90" s="68"/>
      <c r="AC90" t="s">
        <v>288</v>
      </c>
    </row>
    <row r="91" spans="1:29" x14ac:dyDescent="0.45">
      <c r="A91" s="11" t="s">
        <v>216</v>
      </c>
      <c r="B91" s="96" t="str">
        <f t="shared" si="10"/>
        <v>Other species of Old World monkeys</v>
      </c>
      <c r="C91" s="96" t="str">
        <f t="shared" si="11"/>
        <v>Other species of Old World monkeys (other species of Cercopithecoidea) [A25-1]</v>
      </c>
      <c r="D91" s="67"/>
      <c r="E91" s="64"/>
      <c r="F91" s="64"/>
      <c r="G91" s="64"/>
      <c r="H91" s="64"/>
      <c r="I91" s="103" t="s">
        <v>372</v>
      </c>
      <c r="J91" s="64"/>
      <c r="K91" s="64"/>
      <c r="L91" s="64"/>
      <c r="M91" s="64"/>
      <c r="N91" s="64"/>
      <c r="O91" s="64"/>
      <c r="P91" s="64"/>
      <c r="Q91" s="64"/>
      <c r="R91" s="64"/>
      <c r="S91" s="64"/>
      <c r="T91" s="64"/>
      <c r="U91" s="64"/>
      <c r="V91" s="64"/>
      <c r="W91" s="64"/>
      <c r="X91" s="64"/>
      <c r="Y91" s="64"/>
      <c r="Z91" s="64"/>
      <c r="AA91" s="64"/>
      <c r="AB91" s="68"/>
      <c r="AC91" t="s">
        <v>289</v>
      </c>
    </row>
    <row r="92" spans="1:29" x14ac:dyDescent="0.45">
      <c r="A92" s="11" t="s">
        <v>217</v>
      </c>
      <c r="B92" s="96" t="str">
        <f t="shared" si="10"/>
        <v>Other species of New World monkeys</v>
      </c>
      <c r="C92" s="96" t="str">
        <f t="shared" si="11"/>
        <v>Other species of New World monkeys (other species of Ceboidea) [A25-2]</v>
      </c>
      <c r="D92" s="67"/>
      <c r="E92" s="64"/>
      <c r="F92" s="64"/>
      <c r="G92" s="64"/>
      <c r="H92" s="64"/>
      <c r="I92" s="103" t="s">
        <v>373</v>
      </c>
      <c r="J92" s="64"/>
      <c r="K92" s="64"/>
      <c r="L92" s="64"/>
      <c r="M92" s="64"/>
      <c r="N92" s="64"/>
      <c r="O92" s="64"/>
      <c r="P92" s="64"/>
      <c r="Q92" s="64"/>
      <c r="R92" s="64"/>
      <c r="S92" s="64"/>
      <c r="T92" s="64"/>
      <c r="U92" s="64"/>
      <c r="V92" s="64"/>
      <c r="W92" s="64"/>
      <c r="X92" s="64"/>
      <c r="Y92" s="64"/>
      <c r="Z92" s="64"/>
      <c r="AA92" s="64"/>
      <c r="AB92" s="68"/>
      <c r="AC92" t="s">
        <v>290</v>
      </c>
    </row>
    <row r="93" spans="1:29" x14ac:dyDescent="0.45">
      <c r="A93" s="11" t="s">
        <v>218</v>
      </c>
      <c r="B93" s="96" t="str">
        <f t="shared" si="10"/>
        <v>Apes</v>
      </c>
      <c r="C93" s="96" t="str">
        <f t="shared" si="11"/>
        <v>Apes (Hominoidea) [A26]</v>
      </c>
      <c r="D93" s="67"/>
      <c r="E93" s="64"/>
      <c r="F93" s="64"/>
      <c r="G93" s="64"/>
      <c r="H93" s="64"/>
      <c r="I93" s="103" t="s">
        <v>254</v>
      </c>
      <c r="J93" s="64"/>
      <c r="K93" s="64"/>
      <c r="L93" s="64"/>
      <c r="M93" s="64"/>
      <c r="N93" s="64"/>
      <c r="O93" s="64"/>
      <c r="P93" s="64"/>
      <c r="Q93" s="64"/>
      <c r="R93" s="64"/>
      <c r="S93" s="64"/>
      <c r="T93" s="64"/>
      <c r="U93" s="64"/>
      <c r="V93" s="64"/>
      <c r="W93" s="64"/>
      <c r="X93" s="64"/>
      <c r="Y93" s="64"/>
      <c r="Z93" s="64"/>
      <c r="AA93" s="64"/>
      <c r="AB93" s="68"/>
      <c r="AC93" t="s">
        <v>291</v>
      </c>
    </row>
    <row r="94" spans="1:29" x14ac:dyDescent="0.45">
      <c r="A94" s="11" t="s">
        <v>219</v>
      </c>
      <c r="B94" s="96" t="str">
        <f t="shared" si="10"/>
        <v>Other mammals</v>
      </c>
      <c r="C94" s="96" t="str">
        <f t="shared" si="11"/>
        <v>Other mammals (other Mammalia) [A27]</v>
      </c>
      <c r="D94" s="67"/>
      <c r="E94" s="64"/>
      <c r="F94" s="64"/>
      <c r="G94" s="64"/>
      <c r="H94" s="64"/>
      <c r="I94" s="103" t="s">
        <v>255</v>
      </c>
      <c r="J94" s="64"/>
      <c r="K94" s="64"/>
      <c r="L94" s="64"/>
      <c r="M94" s="64"/>
      <c r="N94" s="64"/>
      <c r="O94" s="64"/>
      <c r="P94" s="64"/>
      <c r="Q94" s="64"/>
      <c r="R94" s="64"/>
      <c r="S94" s="64"/>
      <c r="T94" s="64"/>
      <c r="U94" s="64"/>
      <c r="V94" s="64"/>
      <c r="W94" s="64"/>
      <c r="X94" s="64"/>
      <c r="Y94" s="64"/>
      <c r="Z94" s="64"/>
      <c r="AA94" s="64"/>
      <c r="AB94" s="68"/>
      <c r="AC94" t="s">
        <v>292</v>
      </c>
    </row>
    <row r="95" spans="1:29" x14ac:dyDescent="0.45">
      <c r="A95" s="11" t="s">
        <v>220</v>
      </c>
      <c r="B95" s="96" t="str">
        <f t="shared" si="10"/>
        <v>Domestic fowl</v>
      </c>
      <c r="C95" s="96" t="str">
        <f t="shared" si="11"/>
        <v>Domestic fowl (Gallus gallus domesticus) [A28]</v>
      </c>
      <c r="D95" s="67"/>
      <c r="E95" s="64"/>
      <c r="F95" s="64"/>
      <c r="G95" s="64"/>
      <c r="H95" s="64"/>
      <c r="I95" s="103" t="s">
        <v>256</v>
      </c>
      <c r="J95" s="64"/>
      <c r="K95" s="64"/>
      <c r="L95" s="64"/>
      <c r="M95" s="64"/>
      <c r="N95" s="64"/>
      <c r="O95" s="64"/>
      <c r="P95" s="64"/>
      <c r="Q95" s="64"/>
      <c r="R95" s="64"/>
      <c r="S95" s="64"/>
      <c r="T95" s="64"/>
      <c r="U95" s="64"/>
      <c r="V95" s="64"/>
      <c r="W95" s="64"/>
      <c r="X95" s="64"/>
      <c r="Y95" s="64"/>
      <c r="Z95" s="64"/>
      <c r="AA95" s="64"/>
      <c r="AB95" s="68"/>
      <c r="AC95" t="s">
        <v>293</v>
      </c>
    </row>
    <row r="96" spans="1:29" x14ac:dyDescent="0.45">
      <c r="A96" s="99" t="s">
        <v>374</v>
      </c>
      <c r="B96" s="96" t="str">
        <f t="shared" si="10"/>
        <v>Turkey</v>
      </c>
      <c r="C96" s="96" t="str">
        <f t="shared" si="11"/>
        <v>Turkey (Meleagris gallopavo) [A37]</v>
      </c>
      <c r="D96" s="67"/>
      <c r="E96" s="64"/>
      <c r="F96" s="64"/>
      <c r="G96" s="64"/>
      <c r="H96" s="64"/>
      <c r="I96" s="103" t="s">
        <v>375</v>
      </c>
      <c r="J96" s="64"/>
      <c r="K96" s="64"/>
      <c r="L96" s="64"/>
      <c r="M96" s="64"/>
      <c r="N96" s="64"/>
      <c r="O96" s="64"/>
      <c r="P96" s="64"/>
      <c r="Q96" s="64"/>
      <c r="R96" s="64"/>
      <c r="S96" s="64"/>
      <c r="T96" s="64"/>
      <c r="U96" s="64"/>
      <c r="V96" s="64"/>
      <c r="W96" s="64"/>
      <c r="X96" s="64"/>
      <c r="Y96" s="64"/>
      <c r="Z96" s="64"/>
      <c r="AA96" s="64"/>
      <c r="AB96" s="68"/>
      <c r="AC96" t="s">
        <v>376</v>
      </c>
    </row>
    <row r="97" spans="1:29" x14ac:dyDescent="0.45">
      <c r="A97" s="11" t="s">
        <v>221</v>
      </c>
      <c r="B97" s="96" t="str">
        <f t="shared" si="10"/>
        <v>Other birds</v>
      </c>
      <c r="C97" s="96" t="str">
        <f t="shared" si="11"/>
        <v>Other birds (other Aves) [A29]</v>
      </c>
      <c r="D97" s="67"/>
      <c r="E97" s="64"/>
      <c r="F97" s="64"/>
      <c r="G97" s="64"/>
      <c r="H97" s="64"/>
      <c r="I97" s="103" t="s">
        <v>257</v>
      </c>
      <c r="J97" s="64"/>
      <c r="K97" s="64"/>
      <c r="L97" s="64"/>
      <c r="M97" s="64"/>
      <c r="N97" s="64"/>
      <c r="O97" s="64"/>
      <c r="P97" s="64"/>
      <c r="Q97" s="64"/>
      <c r="R97" s="64"/>
      <c r="S97" s="64"/>
      <c r="T97" s="64"/>
      <c r="U97" s="64"/>
      <c r="V97" s="64"/>
      <c r="W97" s="64"/>
      <c r="X97" s="64"/>
      <c r="Y97" s="64"/>
      <c r="Z97" s="64"/>
      <c r="AA97" s="64"/>
      <c r="AB97" s="68"/>
      <c r="AC97" t="s">
        <v>294</v>
      </c>
    </row>
    <row r="98" spans="1:29" x14ac:dyDescent="0.45">
      <c r="A98" s="11" t="s">
        <v>222</v>
      </c>
      <c r="B98" s="96" t="str">
        <f t="shared" si="10"/>
        <v>Reptiles</v>
      </c>
      <c r="C98" s="96" t="str">
        <f t="shared" si="11"/>
        <v>Reptiles (Reptilia) [A30]</v>
      </c>
      <c r="D98" s="67"/>
      <c r="E98" s="64"/>
      <c r="F98" s="64"/>
      <c r="G98" s="64"/>
      <c r="H98" s="64"/>
      <c r="I98" s="103" t="s">
        <v>258</v>
      </c>
      <c r="J98" s="64"/>
      <c r="K98" s="64"/>
      <c r="L98" s="64"/>
      <c r="M98" s="64"/>
      <c r="N98" s="64"/>
      <c r="O98" s="64"/>
      <c r="P98" s="64"/>
      <c r="Q98" s="64"/>
      <c r="R98" s="64"/>
      <c r="S98" s="64"/>
      <c r="T98" s="64"/>
      <c r="U98" s="64"/>
      <c r="V98" s="64"/>
      <c r="W98" s="64"/>
      <c r="X98" s="64"/>
      <c r="Y98" s="64"/>
      <c r="Z98" s="64"/>
      <c r="AA98" s="64"/>
      <c r="AB98" s="68"/>
      <c r="AC98" t="s">
        <v>295</v>
      </c>
    </row>
    <row r="99" spans="1:29" x14ac:dyDescent="0.45">
      <c r="A99" s="11" t="s">
        <v>223</v>
      </c>
      <c r="B99" s="96" t="str">
        <f t="shared" si="10"/>
        <v>Rana</v>
      </c>
      <c r="C99" s="96" t="str">
        <f t="shared" si="11"/>
        <v>Rana (Rana temporaria and Rana pipiens) [A31]</v>
      </c>
      <c r="D99" s="67"/>
      <c r="E99" s="64"/>
      <c r="F99" s="64"/>
      <c r="G99" s="64"/>
      <c r="H99" s="64"/>
      <c r="I99" s="103" t="s">
        <v>259</v>
      </c>
      <c r="J99" s="64"/>
      <c r="K99" s="64"/>
      <c r="L99" s="64"/>
      <c r="M99" s="64"/>
      <c r="N99" s="64"/>
      <c r="O99" s="64"/>
      <c r="P99" s="64"/>
      <c r="Q99" s="64"/>
      <c r="R99" s="64"/>
      <c r="S99" s="64"/>
      <c r="T99" s="64"/>
      <c r="U99" s="64"/>
      <c r="V99" s="64"/>
      <c r="W99" s="64"/>
      <c r="X99" s="64"/>
      <c r="Y99" s="64"/>
      <c r="Z99" s="64"/>
      <c r="AA99" s="64"/>
      <c r="AB99" s="68"/>
      <c r="AC99" t="s">
        <v>296</v>
      </c>
    </row>
    <row r="100" spans="1:29" x14ac:dyDescent="0.45">
      <c r="A100" s="11" t="s">
        <v>224</v>
      </c>
      <c r="B100" s="96" t="str">
        <f t="shared" si="10"/>
        <v>Xenopus</v>
      </c>
      <c r="C100" s="96" t="str">
        <f t="shared" si="11"/>
        <v>Xenopus (Xenopus laevis and Xenopus tropicalis) [A32]</v>
      </c>
      <c r="D100" s="67"/>
      <c r="E100" s="64"/>
      <c r="F100" s="64"/>
      <c r="G100" s="64"/>
      <c r="H100" s="64"/>
      <c r="I100" s="103" t="s">
        <v>260</v>
      </c>
      <c r="J100" s="64"/>
      <c r="K100" s="64"/>
      <c r="L100" s="64"/>
      <c r="M100" s="64"/>
      <c r="N100" s="64"/>
      <c r="O100" s="64"/>
      <c r="P100" s="64"/>
      <c r="Q100" s="64"/>
      <c r="R100" s="64"/>
      <c r="S100" s="64"/>
      <c r="T100" s="64"/>
      <c r="U100" s="64"/>
      <c r="V100" s="64"/>
      <c r="W100" s="64"/>
      <c r="X100" s="64"/>
      <c r="Y100" s="64"/>
      <c r="Z100" s="64"/>
      <c r="AA100" s="64"/>
      <c r="AB100" s="68"/>
      <c r="AC100" t="s">
        <v>297</v>
      </c>
    </row>
    <row r="101" spans="1:29" x14ac:dyDescent="0.45">
      <c r="A101" s="11" t="s">
        <v>225</v>
      </c>
      <c r="B101" s="96" t="str">
        <f t="shared" si="10"/>
        <v>Other amphibians</v>
      </c>
      <c r="C101" s="96" t="str">
        <f t="shared" si="11"/>
        <v>Other amphibians (other Amphibia) [A33]</v>
      </c>
      <c r="D101" s="67"/>
      <c r="E101" s="64"/>
      <c r="F101" s="64"/>
      <c r="G101" s="64"/>
      <c r="H101" s="64"/>
      <c r="I101" s="103" t="s">
        <v>261</v>
      </c>
      <c r="J101" s="64"/>
      <c r="K101" s="64"/>
      <c r="L101" s="64"/>
      <c r="M101" s="64"/>
      <c r="N101" s="64"/>
      <c r="O101" s="64"/>
      <c r="P101" s="64"/>
      <c r="Q101" s="64"/>
      <c r="R101" s="64"/>
      <c r="S101" s="64"/>
      <c r="T101" s="64"/>
      <c r="U101" s="64"/>
      <c r="V101" s="64"/>
      <c r="W101" s="64"/>
      <c r="X101" s="64"/>
      <c r="Y101" s="64"/>
      <c r="Z101" s="64"/>
      <c r="AA101" s="64"/>
      <c r="AB101" s="68"/>
      <c r="AC101" t="s">
        <v>298</v>
      </c>
    </row>
    <row r="102" spans="1:29" x14ac:dyDescent="0.45">
      <c r="A102" s="11" t="s">
        <v>226</v>
      </c>
      <c r="B102" s="96" t="str">
        <f t="shared" si="10"/>
        <v>Zebra fish</v>
      </c>
      <c r="C102" s="96" t="str">
        <f t="shared" si="11"/>
        <v>Zebra fish (Danio rerio) [A34]</v>
      </c>
      <c r="D102" s="67"/>
      <c r="E102" s="64"/>
      <c r="F102" s="64"/>
      <c r="G102" s="64"/>
      <c r="H102" s="64"/>
      <c r="I102" s="103" t="s">
        <v>262</v>
      </c>
      <c r="J102" s="64"/>
      <c r="K102" s="64"/>
      <c r="L102" s="64"/>
      <c r="M102" s="64"/>
      <c r="N102" s="64"/>
      <c r="O102" s="64"/>
      <c r="P102" s="64"/>
      <c r="Q102" s="64"/>
      <c r="R102" s="64"/>
      <c r="S102" s="64"/>
      <c r="T102" s="64"/>
      <c r="U102" s="64"/>
      <c r="V102" s="64"/>
      <c r="W102" s="64"/>
      <c r="X102" s="64"/>
      <c r="Y102" s="64"/>
      <c r="Z102" s="64"/>
      <c r="AA102" s="64"/>
      <c r="AB102" s="68"/>
      <c r="AC102" t="s">
        <v>299</v>
      </c>
    </row>
    <row r="103" spans="1:29" x14ac:dyDescent="0.45">
      <c r="A103" s="99" t="s">
        <v>377</v>
      </c>
      <c r="B103" s="96" t="str">
        <f t="shared" si="10"/>
        <v>Sea bass</v>
      </c>
      <c r="C103" s="96" t="str">
        <f t="shared" si="11"/>
        <v>Sea bass (spp. from families e.g. Serranidae, Moronidae) [A38]</v>
      </c>
      <c r="D103" s="67"/>
      <c r="E103" s="64"/>
      <c r="F103" s="64"/>
      <c r="G103" s="64"/>
      <c r="H103" s="64"/>
      <c r="I103" s="103" t="s">
        <v>380</v>
      </c>
      <c r="J103" s="64"/>
      <c r="K103" s="64"/>
      <c r="L103" s="64"/>
      <c r="M103" s="64"/>
      <c r="N103" s="64"/>
      <c r="O103" s="64"/>
      <c r="P103" s="64"/>
      <c r="Q103" s="64"/>
      <c r="R103" s="64"/>
      <c r="S103" s="64"/>
      <c r="T103" s="64"/>
      <c r="U103" s="64"/>
      <c r="V103" s="64"/>
      <c r="W103" s="64"/>
      <c r="X103" s="64"/>
      <c r="Y103" s="64"/>
      <c r="Z103" s="64"/>
      <c r="AA103" s="64"/>
      <c r="AB103" s="68"/>
      <c r="AC103" t="s">
        <v>381</v>
      </c>
    </row>
    <row r="104" spans="1:29" x14ac:dyDescent="0.45">
      <c r="A104" s="99" t="s">
        <v>378</v>
      </c>
      <c r="B104" s="96" t="str">
        <f t="shared" si="10"/>
        <v>Salmon, trout, chars and graylings</v>
      </c>
      <c r="C104" s="96" t="str">
        <f t="shared" si="11"/>
        <v>Salmon, trout, chars and graylings (Salmonidae) [A39]</v>
      </c>
      <c r="D104" s="67"/>
      <c r="E104" s="64"/>
      <c r="F104" s="64"/>
      <c r="G104" s="64"/>
      <c r="H104" s="64"/>
      <c r="I104" s="103" t="s">
        <v>382</v>
      </c>
      <c r="J104" s="64"/>
      <c r="K104" s="64"/>
      <c r="L104" s="64"/>
      <c r="M104" s="64"/>
      <c r="N104" s="64"/>
      <c r="O104" s="64"/>
      <c r="P104" s="64"/>
      <c r="Q104" s="64"/>
      <c r="R104" s="64"/>
      <c r="S104" s="64"/>
      <c r="T104" s="64"/>
      <c r="U104" s="64"/>
      <c r="V104" s="64"/>
      <c r="W104" s="64"/>
      <c r="X104" s="64"/>
      <c r="Y104" s="64"/>
      <c r="Z104" s="64"/>
      <c r="AA104" s="64"/>
      <c r="AB104" s="68"/>
      <c r="AC104" t="s">
        <v>383</v>
      </c>
    </row>
    <row r="105" spans="1:29" x14ac:dyDescent="0.45">
      <c r="A105" s="99" t="s">
        <v>379</v>
      </c>
      <c r="B105" s="96" t="str">
        <f t="shared" si="10"/>
        <v>Guppy, swordtail, molly, platy</v>
      </c>
      <c r="C105" s="96" t="str">
        <f t="shared" si="11"/>
        <v>Guppy, swordtail, molly, platy (Poeciliidae) [A40]</v>
      </c>
      <c r="D105" s="67"/>
      <c r="E105" s="64"/>
      <c r="F105" s="64"/>
      <c r="G105" s="64"/>
      <c r="H105" s="64"/>
      <c r="I105" s="103" t="s">
        <v>384</v>
      </c>
      <c r="J105" s="64"/>
      <c r="K105" s="64"/>
      <c r="L105" s="64"/>
      <c r="M105" s="64"/>
      <c r="N105" s="64"/>
      <c r="O105" s="64"/>
      <c r="P105" s="64"/>
      <c r="Q105" s="64"/>
      <c r="R105" s="64"/>
      <c r="S105" s="64"/>
      <c r="T105" s="64"/>
      <c r="U105" s="64"/>
      <c r="V105" s="64"/>
      <c r="W105" s="64"/>
      <c r="X105" s="64"/>
      <c r="Y105" s="64"/>
      <c r="Z105" s="64"/>
      <c r="AA105" s="64"/>
      <c r="AB105" s="68"/>
      <c r="AC105" t="s">
        <v>385</v>
      </c>
    </row>
    <row r="106" spans="1:29" x14ac:dyDescent="0.45">
      <c r="A106" s="11" t="s">
        <v>227</v>
      </c>
      <c r="B106" s="96" t="str">
        <f t="shared" si="10"/>
        <v>Other fish</v>
      </c>
      <c r="C106" s="96" t="str">
        <f t="shared" si="11"/>
        <v>Other fish (other Pisces) [A35]</v>
      </c>
      <c r="D106" s="67"/>
      <c r="E106" s="64"/>
      <c r="F106" s="64"/>
      <c r="G106" s="64"/>
      <c r="H106" s="64"/>
      <c r="I106" s="103" t="s">
        <v>263</v>
      </c>
      <c r="J106" s="64"/>
      <c r="K106" s="64"/>
      <c r="L106" s="64"/>
      <c r="M106" s="64"/>
      <c r="N106" s="64"/>
      <c r="O106" s="64"/>
      <c r="P106" s="64"/>
      <c r="Q106" s="64"/>
      <c r="R106" s="64"/>
      <c r="S106" s="64"/>
      <c r="T106" s="64"/>
      <c r="U106" s="64"/>
      <c r="V106" s="64"/>
      <c r="W106" s="64"/>
      <c r="X106" s="64"/>
      <c r="Y106" s="64"/>
      <c r="Z106" s="64"/>
      <c r="AA106" s="64"/>
      <c r="AB106" s="68"/>
      <c r="AC106" t="s">
        <v>300</v>
      </c>
    </row>
    <row r="107" spans="1:29" x14ac:dyDescent="0.45">
      <c r="A107" s="11" t="s">
        <v>228</v>
      </c>
      <c r="B107" s="96" t="str">
        <f t="shared" si="10"/>
        <v>Cephalopods</v>
      </c>
      <c r="C107" s="96" t="str">
        <f t="shared" si="11"/>
        <v>Cephalopods (Cephalopoda) [A36]</v>
      </c>
      <c r="D107" s="67"/>
      <c r="E107" s="64"/>
      <c r="F107" s="64"/>
      <c r="G107" s="64"/>
      <c r="H107" s="64"/>
      <c r="I107" s="103" t="s">
        <v>264</v>
      </c>
      <c r="J107" s="64"/>
      <c r="K107" s="64"/>
      <c r="L107" s="64"/>
      <c r="M107" s="64"/>
      <c r="N107" s="64"/>
      <c r="O107" s="64"/>
      <c r="P107" s="64"/>
      <c r="Q107" s="64"/>
      <c r="R107" s="64"/>
      <c r="S107" s="64"/>
      <c r="T107" s="64"/>
      <c r="U107" s="64"/>
      <c r="V107" s="64"/>
      <c r="W107" s="64"/>
      <c r="X107" s="64"/>
      <c r="Y107" s="64"/>
      <c r="Z107" s="64"/>
      <c r="AA107" s="64"/>
      <c r="AB107" s="68"/>
      <c r="AC107" t="s">
        <v>301</v>
      </c>
    </row>
    <row r="108" spans="1:29" ht="14.65" thickBot="1" x14ac:dyDescent="0.5">
      <c r="A108" s="99" t="s">
        <v>229</v>
      </c>
      <c r="B108" s="96" t="str">
        <f t="shared" si="10"/>
        <v>non-specified mammal</v>
      </c>
      <c r="C108" s="96" t="str">
        <f>CONCATENATE(B108," [",A108,"]")</f>
        <v>non-specified mammal [A99]</v>
      </c>
      <c r="D108" s="70"/>
      <c r="E108" s="65"/>
      <c r="F108" s="65"/>
      <c r="G108" s="65"/>
      <c r="H108" s="65"/>
      <c r="I108" s="104" t="s">
        <v>265</v>
      </c>
      <c r="J108" s="65"/>
      <c r="K108" s="65"/>
      <c r="L108" s="65"/>
      <c r="M108" s="65"/>
      <c r="N108" s="65"/>
      <c r="O108" s="65"/>
      <c r="P108" s="65"/>
      <c r="Q108" s="65"/>
      <c r="R108" s="65"/>
      <c r="S108" s="65"/>
      <c r="T108" s="65"/>
      <c r="U108" s="65"/>
      <c r="V108" s="65"/>
      <c r="W108" s="65"/>
      <c r="X108" s="65"/>
      <c r="Y108" s="65"/>
      <c r="Z108" s="65"/>
      <c r="AA108" s="65"/>
      <c r="AB108" s="71"/>
    </row>
    <row r="109" spans="1:29" ht="14.65" thickBot="1" x14ac:dyDescent="0.5"/>
    <row r="110" spans="1:29" x14ac:dyDescent="0.45">
      <c r="A110" s="97" t="s">
        <v>67</v>
      </c>
      <c r="B110" s="97" t="s">
        <v>68</v>
      </c>
      <c r="D110" s="15" t="str">
        <f t="shared" ref="D110:AB110" si="12">languages</f>
        <v>bg</v>
      </c>
      <c r="E110" s="16" t="str">
        <f t="shared" si="12"/>
        <v>cs</v>
      </c>
      <c r="F110" s="16" t="str">
        <f t="shared" si="12"/>
        <v>da</v>
      </c>
      <c r="G110" s="16" t="str">
        <f t="shared" si="12"/>
        <v>de</v>
      </c>
      <c r="H110" s="16" t="str">
        <f t="shared" si="12"/>
        <v>el</v>
      </c>
      <c r="I110" s="82" t="str">
        <f t="shared" si="12"/>
        <v>en</v>
      </c>
      <c r="J110" s="16" t="str">
        <f t="shared" si="12"/>
        <v>es</v>
      </c>
      <c r="K110" s="16" t="str">
        <f t="shared" si="12"/>
        <v>et</v>
      </c>
      <c r="L110" s="16" t="str">
        <f t="shared" si="12"/>
        <v>fi</v>
      </c>
      <c r="M110" s="16" t="str">
        <f t="shared" si="12"/>
        <v>fr</v>
      </c>
      <c r="N110" s="16" t="str">
        <f t="shared" si="12"/>
        <v>ga</v>
      </c>
      <c r="O110" s="16" t="str">
        <f t="shared" si="12"/>
        <v>hr</v>
      </c>
      <c r="P110" s="16" t="str">
        <f t="shared" si="12"/>
        <v>hu</v>
      </c>
      <c r="Q110" s="16" t="str">
        <f t="shared" si="12"/>
        <v>it</v>
      </c>
      <c r="R110" s="16" t="str">
        <f t="shared" si="12"/>
        <v>lt</v>
      </c>
      <c r="S110" s="16" t="str">
        <f t="shared" si="12"/>
        <v>lv</v>
      </c>
      <c r="T110" s="16" t="str">
        <f t="shared" si="12"/>
        <v>mt</v>
      </c>
      <c r="U110" s="16" t="str">
        <f t="shared" si="12"/>
        <v>nl</v>
      </c>
      <c r="V110" s="16" t="str">
        <f t="shared" si="12"/>
        <v>pl</v>
      </c>
      <c r="W110" s="16" t="str">
        <f t="shared" si="12"/>
        <v>pt</v>
      </c>
      <c r="X110" s="16" t="str">
        <f t="shared" si="12"/>
        <v>ro</v>
      </c>
      <c r="Y110" s="16" t="str">
        <f t="shared" si="12"/>
        <v>sk</v>
      </c>
      <c r="Z110" s="16" t="str">
        <f t="shared" si="12"/>
        <v>sl</v>
      </c>
      <c r="AA110" s="16" t="str">
        <f t="shared" si="12"/>
        <v>sv</v>
      </c>
      <c r="AB110" s="17" t="str">
        <f t="shared" si="12"/>
        <v>no</v>
      </c>
    </row>
    <row r="111" spans="1:29" x14ac:dyDescent="0.45">
      <c r="A111" s="11" t="s">
        <v>64</v>
      </c>
      <c r="B111" s="11" t="str">
        <f t="shared" ref="B111:B141" si="13">IF(TRIM(HLOOKUP(language_or_default,textTranslations,MATCH(A111,text,0),FALSE))="",HLOOKUP("en",textTranslations,MATCH(A111,text,0),FALSE),HLOOKUP(language_or_default,textTranslations,MATCH(A111,text,0),FALSE))</f>
        <v>Country</v>
      </c>
      <c r="D111" s="58"/>
      <c r="E111" s="59"/>
      <c r="F111" s="59"/>
      <c r="G111" s="59"/>
      <c r="H111" s="59"/>
      <c r="I111" s="92" t="s">
        <v>65</v>
      </c>
      <c r="J111" s="59"/>
      <c r="K111" s="59"/>
      <c r="L111" s="59"/>
      <c r="M111" s="59"/>
      <c r="N111" s="59"/>
      <c r="O111" s="59"/>
      <c r="P111" s="59"/>
      <c r="Q111" s="59"/>
      <c r="R111" s="59"/>
      <c r="S111" s="59"/>
      <c r="T111" s="59"/>
      <c r="U111" s="59"/>
      <c r="V111" s="59"/>
      <c r="W111" s="59"/>
      <c r="X111" s="59"/>
      <c r="Y111" s="59"/>
      <c r="Z111" s="59"/>
      <c r="AA111" s="59"/>
      <c r="AB111" s="60"/>
    </row>
    <row r="112" spans="1:29" x14ac:dyDescent="0.45">
      <c r="A112" s="11" t="s">
        <v>66</v>
      </c>
      <c r="B112" s="11" t="str">
        <f t="shared" si="13"/>
        <v>Language</v>
      </c>
      <c r="D112" s="58"/>
      <c r="E112" s="59"/>
      <c r="F112" s="59"/>
      <c r="G112" s="59"/>
      <c r="H112" s="59"/>
      <c r="I112" s="105" t="s">
        <v>69</v>
      </c>
      <c r="J112" s="59"/>
      <c r="K112" s="59"/>
      <c r="L112" s="59"/>
      <c r="M112" s="59"/>
      <c r="N112" s="59"/>
      <c r="O112" s="73"/>
      <c r="P112" s="59"/>
      <c r="Q112" s="59"/>
      <c r="R112" s="59"/>
      <c r="S112" s="59"/>
      <c r="T112" s="59"/>
      <c r="U112" s="59"/>
      <c r="V112" s="59"/>
      <c r="W112" s="59"/>
      <c r="X112" s="59"/>
      <c r="Y112" s="59"/>
      <c r="Z112" s="59"/>
      <c r="AA112" s="59"/>
      <c r="AB112" s="60"/>
    </row>
    <row r="113" spans="1:28" x14ac:dyDescent="0.45">
      <c r="A113" s="11" t="s">
        <v>512</v>
      </c>
      <c r="B113" s="11" t="str">
        <f t="shared" si="13"/>
        <v>EU submission</v>
      </c>
      <c r="D113" s="58"/>
      <c r="E113" s="59"/>
      <c r="F113" s="59"/>
      <c r="G113" s="59"/>
      <c r="H113" s="59"/>
      <c r="I113" s="105" t="s">
        <v>510</v>
      </c>
      <c r="J113" s="59"/>
      <c r="K113" s="59"/>
      <c r="L113" s="59"/>
      <c r="M113" s="59"/>
      <c r="N113" s="59"/>
      <c r="O113" s="73"/>
      <c r="P113" s="59"/>
      <c r="Q113" s="59"/>
      <c r="R113" s="59"/>
      <c r="S113" s="59"/>
      <c r="T113" s="59"/>
      <c r="U113" s="59"/>
      <c r="V113" s="59"/>
      <c r="W113" s="59"/>
      <c r="X113" s="59"/>
      <c r="Y113" s="59"/>
      <c r="Z113" s="59"/>
      <c r="AA113" s="59"/>
      <c r="AB113" s="60"/>
    </row>
    <row r="114" spans="1:28" x14ac:dyDescent="0.45">
      <c r="A114" s="24" t="s">
        <v>73</v>
      </c>
      <c r="B114" s="11" t="str">
        <f t="shared" si="13"/>
        <v>Title of the project</v>
      </c>
      <c r="D114" s="58"/>
      <c r="E114" s="59"/>
      <c r="F114" s="59"/>
      <c r="G114" s="59"/>
      <c r="H114" s="59"/>
      <c r="I114" s="105" t="s">
        <v>70</v>
      </c>
      <c r="J114" s="59"/>
      <c r="K114" s="59"/>
      <c r="L114" s="59"/>
      <c r="M114" s="59"/>
      <c r="N114" s="59"/>
      <c r="O114" s="73"/>
      <c r="P114" s="59"/>
      <c r="Q114" s="59"/>
      <c r="R114" s="59"/>
      <c r="S114" s="59"/>
      <c r="T114" s="59"/>
      <c r="U114" s="59"/>
      <c r="V114" s="59"/>
      <c r="W114" s="59"/>
      <c r="X114" s="59"/>
      <c r="Y114" s="59"/>
      <c r="Z114" s="59"/>
      <c r="AA114" s="59"/>
      <c r="AB114" s="60"/>
    </row>
    <row r="115" spans="1:28" x14ac:dyDescent="0.45">
      <c r="A115" s="24" t="s">
        <v>74</v>
      </c>
      <c r="B115" s="11" t="str">
        <f t="shared" si="13"/>
        <v>Duration of the project</v>
      </c>
      <c r="D115" s="58"/>
      <c r="E115" s="59"/>
      <c r="F115" s="59"/>
      <c r="G115" s="59"/>
      <c r="H115" s="59"/>
      <c r="I115" s="105" t="s">
        <v>71</v>
      </c>
      <c r="J115" s="59"/>
      <c r="K115" s="59"/>
      <c r="L115" s="59"/>
      <c r="M115" s="59"/>
      <c r="N115" s="59"/>
      <c r="O115" s="73"/>
      <c r="P115" s="59"/>
      <c r="Q115" s="59"/>
      <c r="R115" s="59"/>
      <c r="S115" s="59"/>
      <c r="T115" s="59"/>
      <c r="U115" s="59"/>
      <c r="V115" s="59"/>
      <c r="W115" s="59"/>
      <c r="X115" s="59"/>
      <c r="Y115" s="59"/>
      <c r="Z115" s="59"/>
      <c r="AA115" s="59"/>
      <c r="AB115" s="60"/>
    </row>
    <row r="116" spans="1:28" x14ac:dyDescent="0.45">
      <c r="A116" s="24" t="s">
        <v>72</v>
      </c>
      <c r="B116" s="11" t="str">
        <f t="shared" si="13"/>
        <v>Keywords</v>
      </c>
      <c r="D116" s="58"/>
      <c r="E116" s="59"/>
      <c r="F116" s="59"/>
      <c r="G116" s="59"/>
      <c r="H116" s="59"/>
      <c r="I116" s="105" t="s">
        <v>75</v>
      </c>
      <c r="J116" s="59"/>
      <c r="K116" s="59"/>
      <c r="L116" s="59"/>
      <c r="M116" s="59"/>
      <c r="N116" s="59"/>
      <c r="O116" s="73"/>
      <c r="P116" s="59"/>
      <c r="Q116" s="59"/>
      <c r="R116" s="59"/>
      <c r="S116" s="59"/>
      <c r="T116" s="59"/>
      <c r="U116" s="59"/>
      <c r="V116" s="59"/>
      <c r="W116" s="59"/>
      <c r="X116" s="59"/>
      <c r="Y116" s="59"/>
      <c r="Z116" s="59"/>
      <c r="AA116" s="59"/>
      <c r="AB116" s="60"/>
    </row>
    <row r="117" spans="1:28" x14ac:dyDescent="0.45">
      <c r="A117" s="24" t="s">
        <v>76</v>
      </c>
      <c r="B117" s="11" t="str">
        <f t="shared" si="13"/>
        <v>Keyword</v>
      </c>
      <c r="D117" s="58"/>
      <c r="E117" s="59"/>
      <c r="F117" s="59"/>
      <c r="G117" s="59"/>
      <c r="H117" s="59"/>
      <c r="I117" s="105" t="s">
        <v>77</v>
      </c>
      <c r="J117" s="59"/>
      <c r="K117" s="59"/>
      <c r="L117" s="59"/>
      <c r="M117" s="59"/>
      <c r="N117" s="59"/>
      <c r="O117" s="73"/>
      <c r="P117" s="59"/>
      <c r="Q117" s="59"/>
      <c r="R117" s="59"/>
      <c r="S117" s="59"/>
      <c r="T117" s="59"/>
      <c r="U117" s="59"/>
      <c r="V117" s="59"/>
      <c r="W117" s="59"/>
      <c r="X117" s="59"/>
      <c r="Y117" s="59"/>
      <c r="Z117" s="59"/>
      <c r="AA117" s="59"/>
      <c r="AB117" s="60"/>
    </row>
    <row r="118" spans="1:28" x14ac:dyDescent="0.45">
      <c r="A118" s="24" t="s">
        <v>78</v>
      </c>
      <c r="B118" s="11" t="str">
        <f t="shared" si="13"/>
        <v>Purpose(s) of the project</v>
      </c>
      <c r="D118" s="58"/>
      <c r="E118" s="59"/>
      <c r="F118" s="59"/>
      <c r="G118" s="59"/>
      <c r="H118" s="59"/>
      <c r="I118" s="92" t="s">
        <v>492</v>
      </c>
      <c r="J118" s="59"/>
      <c r="K118" s="59"/>
      <c r="L118" s="59"/>
      <c r="M118" s="59"/>
      <c r="N118" s="59"/>
      <c r="O118" s="73"/>
      <c r="P118" s="59"/>
      <c r="Q118" s="59"/>
      <c r="R118" s="59"/>
      <c r="S118" s="59"/>
      <c r="T118" s="59"/>
      <c r="U118" s="59"/>
      <c r="V118" s="59"/>
      <c r="W118" s="59"/>
      <c r="X118" s="59"/>
      <c r="Y118" s="59"/>
      <c r="Z118" s="59"/>
      <c r="AA118" s="59"/>
      <c r="AB118" s="60"/>
    </row>
    <row r="119" spans="1:28" x14ac:dyDescent="0.45">
      <c r="A119" s="24" t="s">
        <v>79</v>
      </c>
      <c r="B119" s="11" t="str">
        <f t="shared" si="13"/>
        <v>Basic research</v>
      </c>
      <c r="D119" s="58"/>
      <c r="E119" s="59"/>
      <c r="F119" s="59"/>
      <c r="G119" s="59"/>
      <c r="H119" s="59"/>
      <c r="I119" s="92" t="s">
        <v>91</v>
      </c>
      <c r="J119" s="59"/>
      <c r="K119" s="59"/>
      <c r="L119" s="59"/>
      <c r="M119" s="59"/>
      <c r="N119" s="59"/>
      <c r="O119" s="59"/>
      <c r="P119" s="59"/>
      <c r="Q119" s="59"/>
      <c r="R119" s="59"/>
      <c r="S119" s="59"/>
      <c r="T119" s="59"/>
      <c r="U119" s="59"/>
      <c r="V119" s="59"/>
      <c r="W119" s="59"/>
      <c r="X119" s="59"/>
      <c r="Y119" s="59"/>
      <c r="Z119" s="59"/>
      <c r="AA119" s="59"/>
      <c r="AB119" s="60"/>
    </row>
    <row r="120" spans="1:28" x14ac:dyDescent="0.45">
      <c r="A120" s="24" t="s">
        <v>80</v>
      </c>
      <c r="B120" s="11" t="str">
        <f t="shared" si="13"/>
        <v>Translational and applied research</v>
      </c>
      <c r="D120" s="58"/>
      <c r="E120" s="59"/>
      <c r="F120" s="59"/>
      <c r="G120" s="59"/>
      <c r="H120" s="59"/>
      <c r="I120" s="92" t="s">
        <v>92</v>
      </c>
      <c r="J120" s="59"/>
      <c r="K120" s="59"/>
      <c r="L120" s="59"/>
      <c r="M120" s="59"/>
      <c r="N120" s="59"/>
      <c r="O120" s="59"/>
      <c r="P120" s="59"/>
      <c r="Q120" s="59"/>
      <c r="R120" s="59"/>
      <c r="S120" s="59"/>
      <c r="T120" s="59"/>
      <c r="U120" s="59"/>
      <c r="V120" s="59"/>
      <c r="W120" s="59"/>
      <c r="X120" s="59"/>
      <c r="Y120" s="59"/>
      <c r="Z120" s="59"/>
      <c r="AA120" s="59"/>
      <c r="AB120" s="60"/>
    </row>
    <row r="121" spans="1:28" x14ac:dyDescent="0.45">
      <c r="A121" s="24" t="s">
        <v>81</v>
      </c>
      <c r="B121" s="11" t="str">
        <f t="shared" si="13"/>
        <v>Regulatory use: Quality control (including batch safety and potency testing)</v>
      </c>
      <c r="D121" s="58"/>
      <c r="E121" s="59"/>
      <c r="F121" s="59"/>
      <c r="G121" s="59"/>
      <c r="H121" s="59"/>
      <c r="I121" s="92" t="s">
        <v>93</v>
      </c>
      <c r="J121" s="59"/>
      <c r="K121" s="59"/>
      <c r="L121" s="59"/>
      <c r="M121" s="59"/>
      <c r="N121" s="59"/>
      <c r="O121" s="59"/>
      <c r="P121" s="59"/>
      <c r="Q121" s="59"/>
      <c r="R121" s="59"/>
      <c r="S121" s="59"/>
      <c r="T121" s="59"/>
      <c r="U121" s="59"/>
      <c r="V121" s="59"/>
      <c r="W121" s="59"/>
      <c r="X121" s="59"/>
      <c r="Y121" s="59"/>
      <c r="Z121" s="59"/>
      <c r="AA121" s="59"/>
      <c r="AB121" s="60"/>
    </row>
    <row r="122" spans="1:28" x14ac:dyDescent="0.45">
      <c r="A122" s="24" t="s">
        <v>82</v>
      </c>
      <c r="B122" s="11" t="str">
        <f t="shared" si="13"/>
        <v>Regulatory use: Other efficacy and tolerance testing</v>
      </c>
      <c r="D122" s="58"/>
      <c r="E122" s="59"/>
      <c r="F122" s="59"/>
      <c r="G122" s="59"/>
      <c r="H122" s="59"/>
      <c r="I122" s="92" t="s">
        <v>94</v>
      </c>
      <c r="J122" s="59"/>
      <c r="K122" s="59"/>
      <c r="L122" s="59"/>
      <c r="M122" s="59"/>
      <c r="N122" s="59"/>
      <c r="O122" s="59"/>
      <c r="P122" s="59"/>
      <c r="Q122" s="59"/>
      <c r="R122" s="59"/>
      <c r="S122" s="59"/>
      <c r="T122" s="59"/>
      <c r="U122" s="59"/>
      <c r="V122" s="59"/>
      <c r="W122" s="59"/>
      <c r="X122" s="59"/>
      <c r="Y122" s="59"/>
      <c r="Z122" s="59"/>
      <c r="AA122" s="59"/>
      <c r="AB122" s="60"/>
    </row>
    <row r="123" spans="1:28" x14ac:dyDescent="0.45">
      <c r="A123" s="24" t="s">
        <v>83</v>
      </c>
      <c r="B123" s="11" t="str">
        <f t="shared" si="13"/>
        <v>Regulatory use: Toxicity and other safety testing including pharmacology</v>
      </c>
      <c r="D123" s="58"/>
      <c r="E123" s="59"/>
      <c r="F123" s="59"/>
      <c r="G123" s="59"/>
      <c r="H123" s="59"/>
      <c r="I123" s="92" t="s">
        <v>95</v>
      </c>
      <c r="J123" s="59"/>
      <c r="K123" s="59"/>
      <c r="L123" s="59"/>
      <c r="M123" s="59"/>
      <c r="N123" s="59"/>
      <c r="O123" s="59"/>
      <c r="P123" s="59"/>
      <c r="Q123" s="59"/>
      <c r="R123" s="59"/>
      <c r="S123" s="59"/>
      <c r="T123" s="59"/>
      <c r="U123" s="59"/>
      <c r="V123" s="59"/>
      <c r="W123" s="59"/>
      <c r="X123" s="59"/>
      <c r="Y123" s="59"/>
      <c r="Z123" s="59"/>
      <c r="AA123" s="59"/>
      <c r="AB123" s="60"/>
    </row>
    <row r="124" spans="1:28" x14ac:dyDescent="0.45">
      <c r="A124" s="24" t="s">
        <v>84</v>
      </c>
      <c r="B124" s="11" t="str">
        <f t="shared" si="13"/>
        <v>Routine production</v>
      </c>
      <c r="D124" s="58"/>
      <c r="E124" s="59"/>
      <c r="F124" s="59"/>
      <c r="G124" s="59"/>
      <c r="H124" s="59"/>
      <c r="I124" s="92" t="s">
        <v>96</v>
      </c>
      <c r="J124" s="59"/>
      <c r="K124" s="59"/>
      <c r="L124" s="59"/>
      <c r="M124" s="59"/>
      <c r="N124" s="59"/>
      <c r="O124" s="59"/>
      <c r="P124" s="59"/>
      <c r="Q124" s="59"/>
      <c r="R124" s="59"/>
      <c r="S124" s="59"/>
      <c r="T124" s="59"/>
      <c r="U124" s="59"/>
      <c r="V124" s="59"/>
      <c r="W124" s="59"/>
      <c r="X124" s="59"/>
      <c r="Y124" s="59"/>
      <c r="Z124" s="59"/>
      <c r="AA124" s="59"/>
      <c r="AB124" s="60"/>
    </row>
    <row r="125" spans="1:28" x14ac:dyDescent="0.45">
      <c r="A125" s="24" t="s">
        <v>85</v>
      </c>
      <c r="B125" s="11" t="str">
        <f t="shared" si="13"/>
        <v>Protection of the natural environment in the interests of the health or welfare of human beings or animals</v>
      </c>
      <c r="D125" s="58"/>
      <c r="E125" s="59"/>
      <c r="F125" s="59"/>
      <c r="G125" s="59"/>
      <c r="H125" s="59"/>
      <c r="I125" s="92" t="s">
        <v>97</v>
      </c>
      <c r="J125" s="59"/>
      <c r="K125" s="59"/>
      <c r="L125" s="59"/>
      <c r="M125" s="59"/>
      <c r="N125" s="59"/>
      <c r="O125" s="59"/>
      <c r="P125" s="59"/>
      <c r="Q125" s="59"/>
      <c r="R125" s="59"/>
      <c r="S125" s="59"/>
      <c r="T125" s="59"/>
      <c r="U125" s="59"/>
      <c r="V125" s="59"/>
      <c r="W125" s="59"/>
      <c r="X125" s="59"/>
      <c r="Y125" s="59"/>
      <c r="Z125" s="59"/>
      <c r="AA125" s="59"/>
      <c r="AB125" s="60"/>
    </row>
    <row r="126" spans="1:28" x14ac:dyDescent="0.45">
      <c r="A126" s="24" t="s">
        <v>86</v>
      </c>
      <c r="B126" s="11" t="str">
        <f t="shared" si="13"/>
        <v>Preservation of species</v>
      </c>
      <c r="D126" s="58"/>
      <c r="E126" s="59"/>
      <c r="F126" s="59"/>
      <c r="G126" s="59"/>
      <c r="H126" s="59"/>
      <c r="I126" s="92" t="s">
        <v>98</v>
      </c>
      <c r="J126" s="59"/>
      <c r="K126" s="59"/>
      <c r="L126" s="59"/>
      <c r="M126" s="59"/>
      <c r="N126" s="59"/>
      <c r="O126" s="59"/>
      <c r="P126" s="59"/>
      <c r="Q126" s="59"/>
      <c r="R126" s="59"/>
      <c r="S126" s="59"/>
      <c r="T126" s="59"/>
      <c r="U126" s="59"/>
      <c r="V126" s="59"/>
      <c r="W126" s="59"/>
      <c r="X126" s="59"/>
      <c r="Y126" s="59"/>
      <c r="Z126" s="59"/>
      <c r="AA126" s="59"/>
      <c r="AB126" s="60"/>
    </row>
    <row r="127" spans="1:28" x14ac:dyDescent="0.45">
      <c r="A127" s="24" t="s">
        <v>87</v>
      </c>
      <c r="B127" s="11" t="str">
        <f t="shared" si="13"/>
        <v>Higher education</v>
      </c>
      <c r="D127" s="58"/>
      <c r="E127" s="59"/>
      <c r="F127" s="59"/>
      <c r="G127" s="59"/>
      <c r="H127" s="59"/>
      <c r="I127" s="92" t="s">
        <v>99</v>
      </c>
      <c r="J127" s="59"/>
      <c r="K127" s="59"/>
      <c r="L127" s="59"/>
      <c r="M127" s="59"/>
      <c r="N127" s="59"/>
      <c r="O127" s="59"/>
      <c r="P127" s="59"/>
      <c r="Q127" s="59"/>
      <c r="R127" s="59"/>
      <c r="S127" s="59"/>
      <c r="T127" s="59"/>
      <c r="U127" s="59"/>
      <c r="V127" s="59"/>
      <c r="W127" s="59"/>
      <c r="X127" s="59"/>
      <c r="Y127" s="59"/>
      <c r="Z127" s="59"/>
      <c r="AA127" s="59"/>
      <c r="AB127" s="60"/>
    </row>
    <row r="128" spans="1:28" x14ac:dyDescent="0.45">
      <c r="A128" s="24" t="s">
        <v>88</v>
      </c>
      <c r="B128" s="11" t="str">
        <f t="shared" si="13"/>
        <v>Training</v>
      </c>
      <c r="D128" s="58"/>
      <c r="E128" s="59"/>
      <c r="F128" s="59"/>
      <c r="G128" s="59"/>
      <c r="H128" s="59"/>
      <c r="I128" s="92" t="s">
        <v>100</v>
      </c>
      <c r="J128" s="59"/>
      <c r="K128" s="59"/>
      <c r="L128" s="59"/>
      <c r="M128" s="59"/>
      <c r="N128" s="59"/>
      <c r="O128" s="59"/>
      <c r="P128" s="59"/>
      <c r="Q128" s="59"/>
      <c r="R128" s="59"/>
      <c r="S128" s="59"/>
      <c r="T128" s="59"/>
      <c r="U128" s="59"/>
      <c r="V128" s="59"/>
      <c r="W128" s="59"/>
      <c r="X128" s="59"/>
      <c r="Y128" s="59"/>
      <c r="Z128" s="59"/>
      <c r="AA128" s="59"/>
      <c r="AB128" s="60"/>
    </row>
    <row r="129" spans="1:28" x14ac:dyDescent="0.45">
      <c r="A129" s="24" t="s">
        <v>89</v>
      </c>
      <c r="B129" s="11" t="str">
        <f t="shared" si="13"/>
        <v>Forensic enquiries</v>
      </c>
      <c r="D129" s="58"/>
      <c r="E129" s="59"/>
      <c r="F129" s="59"/>
      <c r="G129" s="59"/>
      <c r="H129" s="59"/>
      <c r="I129" s="92" t="s">
        <v>101</v>
      </c>
      <c r="J129" s="59"/>
      <c r="K129" s="59"/>
      <c r="L129" s="59"/>
      <c r="M129" s="59"/>
      <c r="N129" s="59"/>
      <c r="O129" s="59"/>
      <c r="P129" s="59"/>
      <c r="Q129" s="59"/>
      <c r="R129" s="59"/>
      <c r="S129" s="59"/>
      <c r="T129" s="59"/>
      <c r="U129" s="59"/>
      <c r="V129" s="59"/>
      <c r="W129" s="59"/>
      <c r="X129" s="59"/>
      <c r="Y129" s="59"/>
      <c r="Z129" s="59"/>
      <c r="AA129" s="59"/>
      <c r="AB129" s="60"/>
    </row>
    <row r="130" spans="1:28" x14ac:dyDescent="0.45">
      <c r="A130" s="24" t="s">
        <v>90</v>
      </c>
      <c r="B130" s="11" t="str">
        <f t="shared" si="13"/>
        <v>Maintenance of colonies of genetically altered animals, not used in other procedures</v>
      </c>
      <c r="D130" s="58"/>
      <c r="E130" s="59"/>
      <c r="F130" s="59"/>
      <c r="G130" s="59"/>
      <c r="H130" s="59"/>
      <c r="I130" s="92" t="s">
        <v>102</v>
      </c>
      <c r="J130" s="59"/>
      <c r="K130" s="59"/>
      <c r="L130" s="59"/>
      <c r="M130" s="59"/>
      <c r="N130" s="59"/>
      <c r="O130" s="59"/>
      <c r="P130" s="59"/>
      <c r="Q130" s="59"/>
      <c r="R130" s="59"/>
      <c r="S130" s="59"/>
      <c r="T130" s="59"/>
      <c r="U130" s="59"/>
      <c r="V130" s="59"/>
      <c r="W130" s="59"/>
      <c r="X130" s="59"/>
      <c r="Y130" s="59"/>
      <c r="Z130" s="59"/>
      <c r="AA130" s="59"/>
      <c r="AB130" s="60"/>
    </row>
    <row r="131" spans="1:28" x14ac:dyDescent="0.45">
      <c r="A131" s="24" t="s">
        <v>106</v>
      </c>
      <c r="B131" s="11" t="str">
        <f t="shared" si="13"/>
        <v>NON-TECHNICAL PROJECT SUMMARY</v>
      </c>
      <c r="D131" s="58"/>
      <c r="E131" s="59"/>
      <c r="F131" s="59"/>
      <c r="G131" s="59"/>
      <c r="H131" s="59"/>
      <c r="I131" s="92" t="s">
        <v>105</v>
      </c>
      <c r="J131" s="59"/>
      <c r="K131" s="59"/>
      <c r="L131" s="59"/>
      <c r="M131" s="59"/>
      <c r="N131" s="59"/>
      <c r="O131" s="59"/>
      <c r="P131" s="59"/>
      <c r="Q131" s="59"/>
      <c r="R131" s="59"/>
      <c r="S131" s="59"/>
      <c r="T131" s="59"/>
      <c r="U131" s="59"/>
      <c r="V131" s="59"/>
      <c r="W131" s="59"/>
      <c r="X131" s="59"/>
      <c r="Y131" s="59"/>
      <c r="Z131" s="59"/>
      <c r="AA131" s="59"/>
      <c r="AB131" s="60"/>
    </row>
    <row r="132" spans="1:28" x14ac:dyDescent="0.45">
      <c r="A132" s="11" t="s">
        <v>108</v>
      </c>
      <c r="B132" s="11" t="str">
        <f t="shared" si="13"/>
        <v>At least one purpose must be chosen!</v>
      </c>
      <c r="D132" s="58"/>
      <c r="E132" s="59"/>
      <c r="F132" s="59"/>
      <c r="G132" s="59"/>
      <c r="H132" s="59"/>
      <c r="I132" s="105" t="s">
        <v>355</v>
      </c>
      <c r="J132" s="59"/>
      <c r="K132" s="59"/>
      <c r="L132" s="59"/>
      <c r="M132" s="59"/>
      <c r="N132" s="59"/>
      <c r="O132" s="59"/>
      <c r="P132" s="59"/>
      <c r="Q132" s="59"/>
      <c r="R132" s="59"/>
      <c r="S132" s="59"/>
      <c r="T132" s="59"/>
      <c r="U132" s="59"/>
      <c r="V132" s="59"/>
      <c r="W132" s="59"/>
      <c r="X132" s="59"/>
      <c r="Y132" s="59"/>
      <c r="Z132" s="59"/>
      <c r="AA132" s="59"/>
      <c r="AB132" s="60"/>
    </row>
    <row r="133" spans="1:28" x14ac:dyDescent="0.45">
      <c r="A133" s="11" t="s">
        <v>107</v>
      </c>
      <c r="B133" s="11" t="str">
        <f t="shared" si="13"/>
        <v>At least one keyword must be entered!</v>
      </c>
      <c r="D133" s="58"/>
      <c r="E133" s="59"/>
      <c r="F133" s="59"/>
      <c r="G133" s="59"/>
      <c r="H133" s="59"/>
      <c r="I133" s="92" t="s">
        <v>354</v>
      </c>
      <c r="J133" s="59"/>
      <c r="K133" s="59"/>
      <c r="L133" s="59"/>
      <c r="M133" s="59"/>
      <c r="N133" s="59"/>
      <c r="O133" s="59"/>
      <c r="P133" s="59"/>
      <c r="Q133" s="59"/>
      <c r="R133" s="59"/>
      <c r="S133" s="59"/>
      <c r="T133" s="59"/>
      <c r="U133" s="59"/>
      <c r="V133" s="59"/>
      <c r="W133" s="59"/>
      <c r="X133" s="59"/>
      <c r="Y133" s="59"/>
      <c r="Z133" s="59"/>
      <c r="AA133" s="59"/>
      <c r="AB133" s="60"/>
    </row>
    <row r="134" spans="1:28" x14ac:dyDescent="0.45">
      <c r="A134" s="11" t="s">
        <v>109</v>
      </c>
      <c r="B134" s="11" t="str">
        <f t="shared" si="13"/>
        <v>Objectives and predicted benefits of the project</v>
      </c>
      <c r="D134" s="58"/>
      <c r="E134" s="59"/>
      <c r="F134" s="59"/>
      <c r="G134" s="59"/>
      <c r="H134" s="59"/>
      <c r="I134" s="106" t="s">
        <v>103</v>
      </c>
      <c r="J134" s="91"/>
      <c r="K134" s="91"/>
      <c r="L134" s="91"/>
      <c r="M134" s="59"/>
      <c r="N134" s="59"/>
      <c r="O134" s="59"/>
      <c r="P134" s="59"/>
      <c r="Q134" s="59"/>
      <c r="R134" s="59"/>
      <c r="S134" s="59"/>
      <c r="T134" s="59"/>
      <c r="U134" s="59"/>
      <c r="V134" s="59"/>
      <c r="W134" s="59"/>
      <c r="X134" s="59"/>
      <c r="Y134" s="59"/>
      <c r="Z134" s="59"/>
      <c r="AA134" s="59"/>
      <c r="AB134" s="60"/>
    </row>
    <row r="135" spans="1:28" x14ac:dyDescent="0.45">
      <c r="A135" s="11" t="s">
        <v>110</v>
      </c>
      <c r="B135" s="11" t="str">
        <f t="shared" si="13"/>
        <v>Objectives of the project</v>
      </c>
      <c r="D135" s="58"/>
      <c r="E135" s="59"/>
      <c r="F135" s="59"/>
      <c r="G135" s="59"/>
      <c r="H135" s="59"/>
      <c r="I135" s="105" t="s">
        <v>104</v>
      </c>
      <c r="J135" s="59"/>
      <c r="K135" s="59"/>
      <c r="L135" s="59"/>
      <c r="M135" s="59"/>
      <c r="N135" s="59"/>
      <c r="O135" s="59"/>
      <c r="P135" s="59"/>
      <c r="Q135" s="59"/>
      <c r="R135" s="59"/>
      <c r="S135" s="59"/>
      <c r="T135" s="59"/>
      <c r="U135" s="59"/>
      <c r="V135" s="59"/>
      <c r="W135" s="59"/>
      <c r="X135" s="59"/>
      <c r="Y135" s="59"/>
      <c r="Z135" s="59"/>
      <c r="AA135" s="59"/>
      <c r="AB135" s="60"/>
    </row>
    <row r="136" spans="1:28" x14ac:dyDescent="0.45">
      <c r="A136" s="11" t="s">
        <v>112</v>
      </c>
      <c r="B136" s="11" t="str">
        <f t="shared" si="13"/>
        <v>Potential benefits likely to derive from this project</v>
      </c>
      <c r="D136" s="58"/>
      <c r="E136" s="59"/>
      <c r="F136" s="59"/>
      <c r="G136" s="59"/>
      <c r="H136" s="59"/>
      <c r="I136" s="105" t="s">
        <v>111</v>
      </c>
      <c r="J136" s="59"/>
      <c r="K136" s="59"/>
      <c r="L136" s="59"/>
      <c r="M136" s="59"/>
      <c r="N136" s="59"/>
      <c r="O136" s="59"/>
      <c r="P136" s="59"/>
      <c r="Q136" s="59"/>
      <c r="R136" s="59"/>
      <c r="S136" s="59"/>
      <c r="T136" s="59"/>
      <c r="U136" s="59"/>
      <c r="V136" s="59"/>
      <c r="W136" s="59"/>
      <c r="X136" s="59"/>
      <c r="Y136" s="59"/>
      <c r="Z136" s="59"/>
      <c r="AA136" s="59"/>
      <c r="AB136" s="60"/>
    </row>
    <row r="137" spans="1:28" x14ac:dyDescent="0.45">
      <c r="A137" s="11" t="s">
        <v>114</v>
      </c>
      <c r="B137" s="11" t="str">
        <f t="shared" si="13"/>
        <v>Predicted harms</v>
      </c>
      <c r="D137" s="58"/>
      <c r="E137" s="59"/>
      <c r="F137" s="59"/>
      <c r="G137" s="59"/>
      <c r="H137" s="59"/>
      <c r="I137" s="105" t="s">
        <v>113</v>
      </c>
      <c r="J137" s="59"/>
      <c r="K137" s="59"/>
      <c r="L137" s="59"/>
      <c r="M137" s="59"/>
      <c r="N137" s="59"/>
      <c r="O137" s="59"/>
      <c r="P137" s="59"/>
      <c r="Q137" s="59"/>
      <c r="R137" s="59"/>
      <c r="S137" s="59"/>
      <c r="T137" s="59"/>
      <c r="U137" s="59"/>
      <c r="V137" s="59"/>
      <c r="W137" s="59"/>
      <c r="X137" s="59"/>
      <c r="Y137" s="59"/>
      <c r="Z137" s="59"/>
      <c r="AA137" s="59"/>
      <c r="AB137" s="60"/>
    </row>
    <row r="138" spans="1:28" x14ac:dyDescent="0.45">
      <c r="A138" s="11" t="s">
        <v>116</v>
      </c>
      <c r="B138" s="11" t="str">
        <f t="shared" si="13"/>
        <v>In what procedures will the animals typically be used</v>
      </c>
      <c r="D138" s="58"/>
      <c r="E138" s="59"/>
      <c r="F138" s="59"/>
      <c r="G138" s="59"/>
      <c r="H138" s="59"/>
      <c r="I138" s="107" t="s">
        <v>115</v>
      </c>
      <c r="J138" s="59"/>
      <c r="K138" s="59"/>
      <c r="L138" s="59"/>
      <c r="M138" s="59"/>
      <c r="N138" s="59"/>
      <c r="O138" s="59"/>
      <c r="P138" s="59"/>
      <c r="Q138" s="59"/>
      <c r="R138" s="59"/>
      <c r="S138" s="59"/>
      <c r="T138" s="59"/>
      <c r="U138" s="59"/>
      <c r="V138" s="59"/>
      <c r="W138" s="59"/>
      <c r="X138" s="59"/>
      <c r="Y138" s="59"/>
      <c r="Z138" s="59"/>
      <c r="AA138" s="59"/>
      <c r="AB138" s="60"/>
    </row>
    <row r="139" spans="1:28" x14ac:dyDescent="0.45">
      <c r="A139" s="11" t="s">
        <v>118</v>
      </c>
      <c r="B139" s="11" t="str">
        <f t="shared" si="13"/>
        <v>Expected impacts/adverse effects on the animals</v>
      </c>
      <c r="D139" s="58"/>
      <c r="E139" s="59"/>
      <c r="F139" s="59"/>
      <c r="G139" s="59"/>
      <c r="H139" s="59"/>
      <c r="I139" s="105" t="s">
        <v>117</v>
      </c>
      <c r="J139" s="59"/>
      <c r="K139" s="59"/>
      <c r="L139" s="59"/>
      <c r="M139" s="59"/>
      <c r="N139" s="59"/>
      <c r="O139" s="59"/>
      <c r="P139" s="59"/>
      <c r="Q139" s="59"/>
      <c r="R139" s="59"/>
      <c r="S139" s="59"/>
      <c r="T139" s="59"/>
      <c r="U139" s="59"/>
      <c r="V139" s="59"/>
      <c r="W139" s="59"/>
      <c r="X139" s="59"/>
      <c r="Y139" s="59"/>
      <c r="Z139" s="59"/>
      <c r="AA139" s="59"/>
      <c r="AB139" s="60"/>
    </row>
    <row r="140" spans="1:28" x14ac:dyDescent="0.45">
      <c r="A140" s="11" t="s">
        <v>347</v>
      </c>
      <c r="B140" s="11" t="str">
        <f t="shared" si="13"/>
        <v>Expected harms</v>
      </c>
      <c r="D140" s="58"/>
      <c r="E140" s="59"/>
      <c r="F140" s="59"/>
      <c r="G140" s="59"/>
      <c r="H140" s="59"/>
      <c r="I140" s="105" t="s">
        <v>348</v>
      </c>
      <c r="J140" s="59"/>
      <c r="K140" s="59"/>
      <c r="L140" s="59"/>
      <c r="M140" s="59"/>
      <c r="N140" s="59"/>
      <c r="O140" s="59"/>
      <c r="P140" s="59"/>
      <c r="Q140" s="59"/>
      <c r="R140" s="59"/>
      <c r="S140" s="59"/>
      <c r="T140" s="59"/>
      <c r="U140" s="59"/>
      <c r="V140" s="59"/>
      <c r="W140" s="59"/>
      <c r="X140" s="59"/>
      <c r="Y140" s="59"/>
      <c r="Z140" s="59"/>
      <c r="AA140" s="59"/>
      <c r="AB140" s="60"/>
    </row>
    <row r="141" spans="1:28" x14ac:dyDescent="0.45">
      <c r="A141" s="11" t="s">
        <v>119</v>
      </c>
      <c r="B141" s="11" t="str">
        <f t="shared" si="13"/>
        <v>Fate of animals kept alive</v>
      </c>
      <c r="D141" s="58"/>
      <c r="E141" s="59"/>
      <c r="F141" s="59"/>
      <c r="G141" s="59"/>
      <c r="H141" s="59"/>
      <c r="I141" s="105" t="s">
        <v>120</v>
      </c>
      <c r="J141" s="59"/>
      <c r="K141" s="59"/>
      <c r="L141" s="59"/>
      <c r="M141" s="59"/>
      <c r="N141" s="59"/>
      <c r="O141" s="59"/>
      <c r="P141" s="59"/>
      <c r="Q141" s="59"/>
      <c r="R141" s="59"/>
      <c r="S141" s="59"/>
      <c r="T141" s="59"/>
      <c r="U141" s="59"/>
      <c r="V141" s="59"/>
      <c r="W141" s="59"/>
      <c r="X141" s="59"/>
      <c r="Y141" s="59"/>
      <c r="Z141" s="59"/>
      <c r="AA141" s="59"/>
      <c r="AB141" s="60"/>
    </row>
    <row r="142" spans="1:28" x14ac:dyDescent="0.45">
      <c r="A142" s="11" t="s">
        <v>122</v>
      </c>
      <c r="B142" s="11" t="str">
        <f t="shared" ref="B142:B225" si="14">IF(TRIM(HLOOKUP(language_or_default,textTranslations,MATCH(A142,text,0),FALSE))="",HLOOKUP("en",textTranslations,MATCH(A142,text,0),FALSE),HLOOKUP(language_or_default,textTranslations,MATCH(A142,text,0),FALSE))</f>
        <v>Reasons for the planned fate of the animals after the procedure</v>
      </c>
      <c r="D142" s="58"/>
      <c r="E142" s="59"/>
      <c r="F142" s="59"/>
      <c r="G142" s="59"/>
      <c r="H142" s="59"/>
      <c r="I142" s="107" t="s">
        <v>121</v>
      </c>
      <c r="J142" s="59"/>
      <c r="K142" s="59"/>
      <c r="L142" s="59"/>
      <c r="M142" s="59"/>
      <c r="N142" s="59"/>
      <c r="O142" s="59"/>
      <c r="P142" s="59"/>
      <c r="Q142" s="59"/>
      <c r="R142" s="59"/>
      <c r="S142" s="59"/>
      <c r="T142" s="59"/>
      <c r="U142" s="59"/>
      <c r="V142" s="59"/>
      <c r="W142" s="59"/>
      <c r="X142" s="59"/>
      <c r="Y142" s="59"/>
      <c r="Z142" s="59"/>
      <c r="AA142" s="59"/>
      <c r="AB142" s="60"/>
    </row>
    <row r="143" spans="1:28" x14ac:dyDescent="0.45">
      <c r="A143" s="11" t="s">
        <v>124</v>
      </c>
      <c r="B143" s="11" t="str">
        <f t="shared" si="14"/>
        <v>Application of the Three Rs</v>
      </c>
      <c r="D143" s="58"/>
      <c r="E143" s="59"/>
      <c r="F143" s="59"/>
      <c r="G143" s="59"/>
      <c r="H143" s="59"/>
      <c r="I143" s="105" t="s">
        <v>123</v>
      </c>
      <c r="J143" s="59"/>
      <c r="K143" s="59"/>
      <c r="L143" s="59"/>
      <c r="M143" s="59"/>
      <c r="N143" s="59"/>
      <c r="O143" s="59"/>
      <c r="P143" s="59"/>
      <c r="Q143" s="59"/>
      <c r="R143" s="59"/>
      <c r="S143" s="59"/>
      <c r="T143" s="59"/>
      <c r="U143" s="59"/>
      <c r="V143" s="59"/>
      <c r="W143" s="59"/>
      <c r="X143" s="59"/>
      <c r="Y143" s="59"/>
      <c r="Z143" s="59"/>
      <c r="AA143" s="59"/>
      <c r="AB143" s="60"/>
    </row>
    <row r="144" spans="1:28" x14ac:dyDescent="0.45">
      <c r="A144" s="11" t="s">
        <v>126</v>
      </c>
      <c r="B144" s="11" t="str">
        <f t="shared" si="14"/>
        <v>1. Replacement</v>
      </c>
      <c r="D144" s="58"/>
      <c r="E144" s="59"/>
      <c r="F144" s="59"/>
      <c r="G144" s="59"/>
      <c r="H144" s="59"/>
      <c r="I144" s="105" t="s">
        <v>125</v>
      </c>
      <c r="J144" s="59"/>
      <c r="K144" s="59"/>
      <c r="L144" s="59"/>
      <c r="M144" s="59"/>
      <c r="N144" s="59"/>
      <c r="O144" s="59"/>
      <c r="P144" s="59"/>
      <c r="Q144" s="59"/>
      <c r="R144" s="59"/>
      <c r="S144" s="59"/>
      <c r="T144" s="59"/>
      <c r="U144" s="59"/>
      <c r="V144" s="59"/>
      <c r="W144" s="59"/>
      <c r="X144" s="59"/>
      <c r="Y144" s="59"/>
      <c r="Z144" s="59"/>
      <c r="AA144" s="59"/>
      <c r="AB144" s="60"/>
    </row>
    <row r="145" spans="1:28" x14ac:dyDescent="0.45">
      <c r="A145" s="11" t="s">
        <v>128</v>
      </c>
      <c r="B145" s="11" t="str">
        <f t="shared" si="14"/>
        <v>2. Reduction</v>
      </c>
      <c r="D145" s="58"/>
      <c r="E145" s="59"/>
      <c r="F145" s="59"/>
      <c r="G145" s="59"/>
      <c r="H145" s="59"/>
      <c r="I145" s="105" t="s">
        <v>127</v>
      </c>
      <c r="J145" s="59"/>
      <c r="K145" s="59"/>
      <c r="L145" s="59"/>
      <c r="M145" s="59"/>
      <c r="N145" s="59"/>
      <c r="O145" s="59"/>
      <c r="P145" s="59"/>
      <c r="Q145" s="59"/>
      <c r="R145" s="59"/>
      <c r="S145" s="59"/>
      <c r="T145" s="59"/>
      <c r="U145" s="59"/>
      <c r="V145" s="59"/>
      <c r="W145" s="59"/>
      <c r="X145" s="59"/>
      <c r="Y145" s="59"/>
      <c r="Z145" s="59"/>
      <c r="AA145" s="59"/>
      <c r="AB145" s="60"/>
    </row>
    <row r="146" spans="1:28" x14ac:dyDescent="0.45">
      <c r="A146" s="11" t="s">
        <v>130</v>
      </c>
      <c r="B146" s="11" t="str">
        <f t="shared" si="14"/>
        <v>3. Refinement</v>
      </c>
      <c r="D146" s="58"/>
      <c r="E146" s="59"/>
      <c r="F146" s="59"/>
      <c r="G146" s="59"/>
      <c r="H146" s="59"/>
      <c r="I146" s="105" t="s">
        <v>129</v>
      </c>
      <c r="J146" s="59"/>
      <c r="K146" s="59"/>
      <c r="L146" s="59"/>
      <c r="M146" s="59"/>
      <c r="N146" s="59"/>
      <c r="O146" s="59"/>
      <c r="P146" s="59"/>
      <c r="Q146" s="59"/>
      <c r="R146" s="59"/>
      <c r="S146" s="59"/>
      <c r="T146" s="59"/>
      <c r="U146" s="59"/>
      <c r="V146" s="59"/>
      <c r="W146" s="59"/>
      <c r="X146" s="59"/>
      <c r="Y146" s="59"/>
      <c r="Z146" s="59"/>
      <c r="AA146" s="59"/>
      <c r="AB146" s="60"/>
    </row>
    <row r="147" spans="1:28" x14ac:dyDescent="0.45">
      <c r="A147" s="11" t="s">
        <v>132</v>
      </c>
      <c r="B147" s="11" t="str">
        <f t="shared" si="14"/>
        <v>Explain the choice of species and the related life stages</v>
      </c>
      <c r="D147" s="58"/>
      <c r="E147" s="59"/>
      <c r="F147" s="59"/>
      <c r="G147" s="59"/>
      <c r="H147" s="59"/>
      <c r="I147" s="107" t="s">
        <v>131</v>
      </c>
      <c r="J147" s="59"/>
      <c r="K147" s="59"/>
      <c r="L147" s="59"/>
      <c r="M147" s="59"/>
      <c r="N147" s="59"/>
      <c r="O147" s="59"/>
      <c r="P147" s="59"/>
      <c r="Q147" s="59"/>
      <c r="R147" s="59"/>
      <c r="S147" s="59"/>
      <c r="T147" s="59"/>
      <c r="U147" s="59"/>
      <c r="V147" s="59"/>
      <c r="W147" s="59"/>
      <c r="X147" s="59"/>
      <c r="Y147" s="59"/>
      <c r="Z147" s="59"/>
      <c r="AA147" s="59"/>
      <c r="AB147" s="60"/>
    </row>
    <row r="148" spans="1:28" x14ac:dyDescent="0.45">
      <c r="A148" s="11" t="s">
        <v>134</v>
      </c>
      <c r="B148" s="11" t="str">
        <f t="shared" si="14"/>
        <v>Project selected for Retrospective Assessment</v>
      </c>
      <c r="D148" s="58"/>
      <c r="E148" s="59"/>
      <c r="F148" s="59"/>
      <c r="G148" s="59"/>
      <c r="H148" s="59"/>
      <c r="I148" s="105" t="s">
        <v>133</v>
      </c>
      <c r="J148" s="59"/>
      <c r="K148" s="59"/>
      <c r="L148" s="59"/>
      <c r="M148" s="59"/>
      <c r="N148" s="59"/>
      <c r="O148" s="59"/>
      <c r="P148" s="59"/>
      <c r="Q148" s="59"/>
      <c r="R148" s="59"/>
      <c r="S148" s="59"/>
      <c r="T148" s="59"/>
      <c r="U148" s="59"/>
      <c r="V148" s="59"/>
      <c r="W148" s="59"/>
      <c r="X148" s="59"/>
      <c r="Y148" s="59"/>
      <c r="Z148" s="59"/>
      <c r="AA148" s="59"/>
      <c r="AB148" s="60"/>
    </row>
    <row r="149" spans="1:28" x14ac:dyDescent="0.45">
      <c r="A149" s="11" t="s">
        <v>135</v>
      </c>
      <c r="B149" s="11" t="str">
        <f t="shared" si="14"/>
        <v>Project selected for RA?</v>
      </c>
      <c r="D149" s="58"/>
      <c r="E149" s="59"/>
      <c r="F149" s="59"/>
      <c r="G149" s="59"/>
      <c r="H149" s="59"/>
      <c r="I149" s="105" t="s">
        <v>136</v>
      </c>
      <c r="J149" s="59"/>
      <c r="K149" s="59"/>
      <c r="L149" s="59"/>
      <c r="M149" s="59"/>
      <c r="N149" s="59"/>
      <c r="O149" s="59"/>
      <c r="P149" s="59"/>
      <c r="Q149" s="59"/>
      <c r="R149" s="59"/>
      <c r="S149" s="59"/>
      <c r="T149" s="59"/>
      <c r="U149" s="59"/>
      <c r="V149" s="59"/>
      <c r="W149" s="59"/>
      <c r="X149" s="59"/>
      <c r="Y149" s="59"/>
      <c r="Z149" s="59"/>
      <c r="AA149" s="59"/>
      <c r="AB149" s="60"/>
    </row>
    <row r="150" spans="1:28" x14ac:dyDescent="0.45">
      <c r="A150" s="11" t="s">
        <v>138</v>
      </c>
      <c r="B150" s="11" t="str">
        <f t="shared" si="14"/>
        <v>Deadline for RA</v>
      </c>
      <c r="D150" s="58"/>
      <c r="E150" s="59"/>
      <c r="F150" s="59"/>
      <c r="G150" s="59"/>
      <c r="H150" s="59"/>
      <c r="I150" s="105" t="s">
        <v>137</v>
      </c>
      <c r="J150" s="59"/>
      <c r="K150" s="59"/>
      <c r="L150" s="59"/>
      <c r="M150" s="59"/>
      <c r="N150" s="59"/>
      <c r="O150" s="59"/>
      <c r="P150" s="59"/>
      <c r="Q150" s="59"/>
      <c r="R150" s="59"/>
      <c r="S150" s="59"/>
      <c r="T150" s="59"/>
      <c r="U150" s="59"/>
      <c r="V150" s="59"/>
      <c r="W150" s="59"/>
      <c r="X150" s="59"/>
      <c r="Y150" s="59"/>
      <c r="Z150" s="59"/>
      <c r="AA150" s="59"/>
      <c r="AB150" s="60"/>
    </row>
    <row r="151" spans="1:28" x14ac:dyDescent="0.45">
      <c r="A151" s="11" t="s">
        <v>140</v>
      </c>
      <c r="B151" s="11" t="str">
        <f t="shared" si="14"/>
        <v>Reasons for retrospective assessment</v>
      </c>
      <c r="D151" s="58"/>
      <c r="E151" s="59"/>
      <c r="F151" s="59"/>
      <c r="G151" s="59"/>
      <c r="H151" s="59"/>
      <c r="I151" s="107" t="s">
        <v>139</v>
      </c>
      <c r="J151" s="59"/>
      <c r="K151" s="59"/>
      <c r="L151" s="59"/>
      <c r="M151" s="59"/>
      <c r="N151" s="59"/>
      <c r="O151" s="59"/>
      <c r="P151" s="59"/>
      <c r="Q151" s="59"/>
      <c r="R151" s="59"/>
      <c r="S151" s="59"/>
      <c r="T151" s="59"/>
      <c r="U151" s="59"/>
      <c r="V151" s="59"/>
      <c r="W151" s="59"/>
      <c r="X151" s="59"/>
      <c r="Y151" s="59"/>
      <c r="Z151" s="59"/>
      <c r="AA151" s="59"/>
      <c r="AB151" s="60"/>
    </row>
    <row r="152" spans="1:28" x14ac:dyDescent="0.45">
      <c r="A152" s="38" t="s">
        <v>141</v>
      </c>
      <c r="B152" s="11" t="str">
        <f t="shared" si="14"/>
        <v>Contains severe procedures</v>
      </c>
      <c r="D152" s="58"/>
      <c r="E152" s="59"/>
      <c r="F152" s="59"/>
      <c r="G152" s="59"/>
      <c r="H152" s="59"/>
      <c r="I152" s="105" t="s">
        <v>145</v>
      </c>
      <c r="J152" s="59"/>
      <c r="K152" s="59"/>
      <c r="L152" s="59"/>
      <c r="M152" s="59"/>
      <c r="N152" s="59"/>
      <c r="O152" s="59"/>
      <c r="P152" s="59"/>
      <c r="Q152" s="59"/>
      <c r="R152" s="59"/>
      <c r="S152" s="59"/>
      <c r="T152" s="59"/>
      <c r="U152" s="59"/>
      <c r="V152" s="59"/>
      <c r="W152" s="59"/>
      <c r="X152" s="59"/>
      <c r="Y152" s="59"/>
      <c r="Z152" s="59"/>
      <c r="AA152" s="59"/>
      <c r="AB152" s="60"/>
    </row>
    <row r="153" spans="1:28" x14ac:dyDescent="0.45">
      <c r="A153" s="38" t="s">
        <v>142</v>
      </c>
      <c r="B153" s="11" t="str">
        <f t="shared" si="14"/>
        <v>Uses non-human primates</v>
      </c>
      <c r="D153" s="58"/>
      <c r="E153" s="59"/>
      <c r="F153" s="59"/>
      <c r="G153" s="59"/>
      <c r="H153" s="59"/>
      <c r="I153" s="105" t="s">
        <v>146</v>
      </c>
      <c r="J153" s="59"/>
      <c r="K153" s="59"/>
      <c r="L153" s="59"/>
      <c r="M153" s="59"/>
      <c r="N153" s="59"/>
      <c r="O153" s="59"/>
      <c r="P153" s="59"/>
      <c r="Q153" s="59"/>
      <c r="R153" s="59"/>
      <c r="S153" s="59"/>
      <c r="T153" s="59"/>
      <c r="U153" s="59"/>
      <c r="V153" s="59"/>
      <c r="W153" s="59"/>
      <c r="X153" s="59"/>
      <c r="Y153" s="59"/>
      <c r="Z153" s="59"/>
      <c r="AA153" s="59"/>
      <c r="AB153" s="60"/>
    </row>
    <row r="154" spans="1:28" x14ac:dyDescent="0.45">
      <c r="A154" s="38" t="s">
        <v>143</v>
      </c>
      <c r="B154" s="11" t="str">
        <f t="shared" si="14"/>
        <v>Other reason</v>
      </c>
      <c r="D154" s="58"/>
      <c r="E154" s="59"/>
      <c r="F154" s="59"/>
      <c r="G154" s="59"/>
      <c r="H154" s="59"/>
      <c r="I154" s="105" t="s">
        <v>147</v>
      </c>
      <c r="J154" s="59"/>
      <c r="K154" s="59"/>
      <c r="L154" s="59"/>
      <c r="M154" s="59"/>
      <c r="N154" s="59"/>
      <c r="O154" s="59"/>
      <c r="P154" s="59"/>
      <c r="Q154" s="59"/>
      <c r="R154" s="59"/>
      <c r="S154" s="59"/>
      <c r="T154" s="59"/>
      <c r="U154" s="59"/>
      <c r="V154" s="59"/>
      <c r="W154" s="59"/>
      <c r="X154" s="59"/>
      <c r="Y154" s="59"/>
      <c r="Z154" s="59"/>
      <c r="AA154" s="59"/>
      <c r="AB154" s="60"/>
    </row>
    <row r="155" spans="1:28" x14ac:dyDescent="0.45">
      <c r="A155" s="38" t="s">
        <v>144</v>
      </c>
      <c r="B155" s="11" t="str">
        <f t="shared" si="14"/>
        <v>Explanation of the other reason for retrospective assessment</v>
      </c>
      <c r="D155" s="58"/>
      <c r="E155" s="59"/>
      <c r="F155" s="59"/>
      <c r="G155" s="59"/>
      <c r="H155" s="59"/>
      <c r="I155" s="107" t="s">
        <v>148</v>
      </c>
      <c r="J155" s="59"/>
      <c r="K155" s="59"/>
      <c r="L155" s="59"/>
      <c r="M155" s="59"/>
      <c r="N155" s="59"/>
      <c r="O155" s="59"/>
      <c r="P155" s="59"/>
      <c r="Q155" s="59"/>
      <c r="R155" s="59"/>
      <c r="S155" s="59"/>
      <c r="T155" s="59"/>
      <c r="U155" s="59"/>
      <c r="V155" s="59"/>
      <c r="W155" s="59"/>
      <c r="X155" s="59"/>
      <c r="Y155" s="59"/>
      <c r="Z155" s="59"/>
      <c r="AA155" s="59"/>
      <c r="AB155" s="60"/>
    </row>
    <row r="156" spans="1:28" x14ac:dyDescent="0.45">
      <c r="A156" s="11" t="s">
        <v>149</v>
      </c>
      <c r="B156" s="11" t="str">
        <f t="shared" si="14"/>
        <v>At least one reason must be chosen!</v>
      </c>
      <c r="D156" s="58"/>
      <c r="E156" s="59"/>
      <c r="F156" s="59"/>
      <c r="G156" s="59"/>
      <c r="H156" s="59"/>
      <c r="I156" s="105" t="s">
        <v>563</v>
      </c>
      <c r="J156" s="59"/>
      <c r="K156" s="59"/>
      <c r="L156" s="59"/>
      <c r="M156" s="59"/>
      <c r="N156" s="59"/>
      <c r="O156" s="59"/>
      <c r="P156" s="59"/>
      <c r="Q156" s="59"/>
      <c r="R156" s="59"/>
      <c r="S156" s="59"/>
      <c r="T156" s="59"/>
      <c r="U156" s="59"/>
      <c r="V156" s="59"/>
      <c r="W156" s="59"/>
      <c r="X156" s="59"/>
      <c r="Y156" s="59"/>
      <c r="Z156" s="59"/>
      <c r="AA156" s="59"/>
      <c r="AB156" s="60"/>
    </row>
    <row r="157" spans="1:28" x14ac:dyDescent="0.45">
      <c r="A157" s="38" t="s">
        <v>150</v>
      </c>
      <c r="B157" s="11" t="str">
        <f t="shared" si="14"/>
        <v>Inconsistent value!</v>
      </c>
      <c r="D157" s="58"/>
      <c r="E157" s="59"/>
      <c r="F157" s="59"/>
      <c r="G157" s="59"/>
      <c r="H157" s="59"/>
      <c r="I157" s="105" t="s">
        <v>151</v>
      </c>
      <c r="J157" s="59"/>
      <c r="K157" s="59"/>
      <c r="L157" s="59"/>
      <c r="M157" s="59"/>
      <c r="N157" s="59"/>
      <c r="O157" s="59"/>
      <c r="P157" s="59"/>
      <c r="Q157" s="59"/>
      <c r="R157" s="59"/>
      <c r="S157" s="59"/>
      <c r="T157" s="59"/>
      <c r="U157" s="59"/>
      <c r="V157" s="59"/>
      <c r="W157" s="59"/>
      <c r="X157" s="59"/>
      <c r="Y157" s="59"/>
      <c r="Z157" s="59"/>
      <c r="AA157" s="59"/>
      <c r="AB157" s="60"/>
    </row>
    <row r="158" spans="1:28" x14ac:dyDescent="0.45">
      <c r="A158" s="38" t="s">
        <v>364</v>
      </c>
      <c r="B158" s="11" t="str">
        <f t="shared" si="14"/>
        <v>NTS national identifier</v>
      </c>
      <c r="D158" s="58"/>
      <c r="E158" s="59"/>
      <c r="F158" s="59"/>
      <c r="G158" s="59"/>
      <c r="H158" s="59"/>
      <c r="I158" s="105" t="s">
        <v>363</v>
      </c>
      <c r="J158" s="59"/>
      <c r="K158" s="59"/>
      <c r="L158" s="59"/>
      <c r="M158" s="59"/>
      <c r="N158" s="59"/>
      <c r="O158" s="59"/>
      <c r="P158" s="59"/>
      <c r="Q158" s="59"/>
      <c r="R158" s="59"/>
      <c r="S158" s="59"/>
      <c r="T158" s="59"/>
      <c r="U158" s="59"/>
      <c r="V158" s="59"/>
      <c r="W158" s="59"/>
      <c r="X158" s="59"/>
      <c r="Y158" s="59"/>
      <c r="Z158" s="59"/>
      <c r="AA158" s="59"/>
      <c r="AB158" s="60"/>
    </row>
    <row r="159" spans="1:28" x14ac:dyDescent="0.45">
      <c r="A159" s="38" t="s">
        <v>175</v>
      </c>
      <c r="B159" s="11" t="str">
        <f t="shared" ref="B159:B184" si="15">IF(TRIM(HLOOKUP(language_or_default,textTranslations,MATCH(A159,text,0),FALSE))="",HLOOKUP("en",textTranslations,MATCH(A159,text,0),FALSE),HLOOKUP(language_or_default,textTranslations,MATCH(A159,text,0),FALSE))</f>
        <v>Not applicable for selected country!</v>
      </c>
      <c r="D159" s="58"/>
      <c r="E159" s="59"/>
      <c r="F159" s="59"/>
      <c r="G159" s="59"/>
      <c r="H159" s="59"/>
      <c r="I159" s="105" t="s">
        <v>176</v>
      </c>
      <c r="J159" s="59"/>
      <c r="K159" s="59"/>
      <c r="L159" s="59"/>
      <c r="M159" s="59"/>
      <c r="N159" s="59"/>
      <c r="O159" s="59"/>
      <c r="P159" s="59"/>
      <c r="Q159" s="59"/>
      <c r="R159" s="59"/>
      <c r="S159" s="59"/>
      <c r="T159" s="59"/>
      <c r="U159" s="59"/>
      <c r="V159" s="59"/>
      <c r="W159" s="59"/>
      <c r="X159" s="59"/>
      <c r="Y159" s="59"/>
      <c r="Z159" s="59"/>
      <c r="AA159" s="59"/>
      <c r="AB159" s="60"/>
    </row>
    <row r="160" spans="1:28" x14ac:dyDescent="0.45">
      <c r="A160" s="38" t="s">
        <v>177</v>
      </c>
      <c r="B160" s="11" t="str">
        <f t="shared" si="15"/>
        <v>To be filled-in by competent authority!</v>
      </c>
      <c r="D160" s="58"/>
      <c r="E160" s="59"/>
      <c r="F160" s="59"/>
      <c r="G160" s="59"/>
      <c r="H160" s="59"/>
      <c r="I160" s="105" t="s">
        <v>178</v>
      </c>
      <c r="J160" s="59"/>
      <c r="K160" s="59"/>
      <c r="L160" s="59"/>
      <c r="M160" s="59"/>
      <c r="N160" s="59"/>
      <c r="O160" s="59"/>
      <c r="P160" s="59"/>
      <c r="Q160" s="59"/>
      <c r="R160" s="59"/>
      <c r="S160" s="59"/>
      <c r="T160" s="59"/>
      <c r="U160" s="59"/>
      <c r="V160" s="59"/>
      <c r="W160" s="59"/>
      <c r="X160" s="59"/>
      <c r="Y160" s="59"/>
      <c r="Z160" s="59"/>
      <c r="AA160" s="59"/>
      <c r="AB160" s="60"/>
    </row>
    <row r="161" spans="1:28" x14ac:dyDescent="0.45">
      <c r="A161" s="38" t="s">
        <v>303</v>
      </c>
      <c r="B161" s="11" t="str">
        <f t="shared" si="15"/>
        <v>Total number must be higher than 0!</v>
      </c>
      <c r="D161" s="58"/>
      <c r="E161" s="59"/>
      <c r="F161" s="59"/>
      <c r="G161" s="59"/>
      <c r="H161" s="59"/>
      <c r="I161" s="105" t="s">
        <v>306</v>
      </c>
      <c r="J161" s="59"/>
      <c r="K161" s="59"/>
      <c r="L161" s="59"/>
      <c r="M161" s="59"/>
      <c r="N161" s="59"/>
      <c r="O161" s="59"/>
      <c r="P161" s="59"/>
      <c r="Q161" s="59"/>
      <c r="R161" s="59"/>
      <c r="S161" s="59"/>
      <c r="T161" s="59"/>
      <c r="U161" s="59"/>
      <c r="V161" s="59"/>
      <c r="W161" s="59"/>
      <c r="X161" s="59"/>
      <c r="Y161" s="59"/>
      <c r="Z161" s="59"/>
      <c r="AA161" s="59"/>
      <c r="AB161" s="60"/>
    </row>
    <row r="162" spans="1:28" x14ac:dyDescent="0.45">
      <c r="A162" s="38" t="s">
        <v>304</v>
      </c>
      <c r="B162" s="11" t="str">
        <f t="shared" si="15"/>
        <v>Species must be selected!</v>
      </c>
      <c r="D162" s="58"/>
      <c r="E162" s="59"/>
      <c r="F162" s="59"/>
      <c r="G162" s="59"/>
      <c r="H162" s="59"/>
      <c r="I162" s="105" t="s">
        <v>305</v>
      </c>
      <c r="J162" s="59"/>
      <c r="K162" s="59"/>
      <c r="L162" s="59"/>
      <c r="M162" s="59"/>
      <c r="N162" s="59"/>
      <c r="O162" s="59"/>
      <c r="P162" s="59"/>
      <c r="Q162" s="59"/>
      <c r="R162" s="59"/>
      <c r="S162" s="59"/>
      <c r="T162" s="59"/>
      <c r="U162" s="59"/>
      <c r="V162" s="59"/>
      <c r="W162" s="59"/>
      <c r="X162" s="59"/>
      <c r="Y162" s="59"/>
      <c r="Z162" s="59"/>
      <c r="AA162" s="59"/>
      <c r="AB162" s="60"/>
    </row>
    <row r="163" spans="1:28" x14ac:dyDescent="0.45">
      <c r="A163" s="38" t="s">
        <v>308</v>
      </c>
      <c r="B163" s="11" t="str">
        <f t="shared" si="15"/>
        <v>At least 1 row!</v>
      </c>
      <c r="D163" s="58"/>
      <c r="E163" s="59"/>
      <c r="F163" s="59"/>
      <c r="G163" s="59"/>
      <c r="H163" s="59"/>
      <c r="I163" s="105" t="s">
        <v>307</v>
      </c>
      <c r="J163" s="59"/>
      <c r="K163" s="59"/>
      <c r="L163" s="59"/>
      <c r="M163" s="59"/>
      <c r="N163" s="59"/>
      <c r="O163" s="59"/>
      <c r="P163" s="59"/>
      <c r="Q163" s="59"/>
      <c r="R163" s="59"/>
      <c r="S163" s="59"/>
      <c r="T163" s="59"/>
      <c r="U163" s="59"/>
      <c r="V163" s="59"/>
      <c r="W163" s="59"/>
      <c r="X163" s="59"/>
      <c r="Y163" s="59"/>
      <c r="Z163" s="59"/>
      <c r="AA163" s="59"/>
      <c r="AB163" s="60"/>
    </row>
    <row r="164" spans="1:28" x14ac:dyDescent="0.45">
      <c r="A164" s="38" t="s">
        <v>309</v>
      </c>
      <c r="B164" s="11" t="str">
        <f t="shared" si="15"/>
        <v>Species</v>
      </c>
      <c r="D164" s="58"/>
      <c r="E164" s="59"/>
      <c r="F164" s="59"/>
      <c r="G164" s="59"/>
      <c r="H164" s="59"/>
      <c r="I164" s="105" t="s">
        <v>185</v>
      </c>
      <c r="J164" s="59"/>
      <c r="K164" s="59"/>
      <c r="L164" s="59"/>
      <c r="M164" s="59"/>
      <c r="N164" s="59"/>
      <c r="O164" s="59"/>
      <c r="P164" s="59"/>
      <c r="Q164" s="59"/>
      <c r="R164" s="59"/>
      <c r="S164" s="59"/>
      <c r="T164" s="59"/>
      <c r="U164" s="59"/>
      <c r="V164" s="59"/>
      <c r="W164" s="59"/>
      <c r="X164" s="59"/>
      <c r="Y164" s="59"/>
      <c r="Z164" s="59"/>
      <c r="AA164" s="59"/>
      <c r="AB164" s="60"/>
    </row>
    <row r="165" spans="1:28" x14ac:dyDescent="0.45">
      <c r="A165" s="38" t="s">
        <v>310</v>
      </c>
      <c r="B165" s="11" t="str">
        <f t="shared" si="15"/>
        <v>Non-recovery</v>
      </c>
      <c r="D165" s="58"/>
      <c r="E165" s="59"/>
      <c r="F165" s="59"/>
      <c r="G165" s="59"/>
      <c r="H165" s="59"/>
      <c r="I165" s="105" t="s">
        <v>188</v>
      </c>
      <c r="J165" s="59"/>
      <c r="K165" s="59"/>
      <c r="L165" s="59"/>
      <c r="M165" s="59"/>
      <c r="N165" s="59"/>
      <c r="O165" s="59"/>
      <c r="P165" s="59"/>
      <c r="Q165" s="59"/>
      <c r="R165" s="59"/>
      <c r="S165" s="59"/>
      <c r="T165" s="59"/>
      <c r="U165" s="59"/>
      <c r="V165" s="59"/>
      <c r="W165" s="59"/>
      <c r="X165" s="59"/>
      <c r="Y165" s="59"/>
      <c r="Z165" s="59"/>
      <c r="AA165" s="59"/>
      <c r="AB165" s="60"/>
    </row>
    <row r="166" spans="1:28" x14ac:dyDescent="0.45">
      <c r="A166" s="38" t="s">
        <v>311</v>
      </c>
      <c r="B166" s="11" t="str">
        <f t="shared" si="15"/>
        <v>Mild</v>
      </c>
      <c r="D166" s="58"/>
      <c r="E166" s="59"/>
      <c r="F166" s="59"/>
      <c r="G166" s="59"/>
      <c r="H166" s="59"/>
      <c r="I166" s="105" t="s">
        <v>184</v>
      </c>
      <c r="J166" s="59"/>
      <c r="K166" s="59"/>
      <c r="L166" s="59"/>
      <c r="M166" s="59"/>
      <c r="N166" s="59"/>
      <c r="O166" s="59"/>
      <c r="P166" s="59"/>
      <c r="Q166" s="59"/>
      <c r="R166" s="59"/>
      <c r="S166" s="59"/>
      <c r="T166" s="59"/>
      <c r="U166" s="59"/>
      <c r="V166" s="59"/>
      <c r="W166" s="59"/>
      <c r="X166" s="59"/>
      <c r="Y166" s="59"/>
      <c r="Z166" s="59"/>
      <c r="AA166" s="59"/>
      <c r="AB166" s="60"/>
    </row>
    <row r="167" spans="1:28" x14ac:dyDescent="0.45">
      <c r="A167" s="38" t="s">
        <v>312</v>
      </c>
      <c r="B167" s="11" t="str">
        <f t="shared" si="15"/>
        <v>Moderate</v>
      </c>
      <c r="D167" s="58"/>
      <c r="E167" s="59"/>
      <c r="F167" s="59"/>
      <c r="G167" s="59"/>
      <c r="H167" s="59"/>
      <c r="I167" s="105" t="s">
        <v>186</v>
      </c>
      <c r="J167" s="59"/>
      <c r="K167" s="59"/>
      <c r="L167" s="59"/>
      <c r="M167" s="59"/>
      <c r="N167" s="59"/>
      <c r="O167" s="59"/>
      <c r="P167" s="59"/>
      <c r="Q167" s="59"/>
      <c r="R167" s="59"/>
      <c r="S167" s="59"/>
      <c r="T167" s="59"/>
      <c r="U167" s="59"/>
      <c r="V167" s="59"/>
      <c r="W167" s="59"/>
      <c r="X167" s="59"/>
      <c r="Y167" s="59"/>
      <c r="Z167" s="59"/>
      <c r="AA167" s="59"/>
      <c r="AB167" s="60"/>
    </row>
    <row r="168" spans="1:28" x14ac:dyDescent="0.45">
      <c r="A168" s="38" t="s">
        <v>313</v>
      </c>
      <c r="B168" s="11" t="str">
        <f t="shared" si="15"/>
        <v>Severe</v>
      </c>
      <c r="D168" s="58"/>
      <c r="E168" s="59"/>
      <c r="F168" s="59"/>
      <c r="G168" s="59"/>
      <c r="H168" s="59"/>
      <c r="I168" s="105" t="s">
        <v>187</v>
      </c>
      <c r="J168" s="59"/>
      <c r="K168" s="59"/>
      <c r="L168" s="59"/>
      <c r="M168" s="59"/>
      <c r="N168" s="59"/>
      <c r="O168" s="59"/>
      <c r="P168" s="59"/>
      <c r="Q168" s="59"/>
      <c r="R168" s="59"/>
      <c r="S168" s="59"/>
      <c r="T168" s="59"/>
      <c r="U168" s="59"/>
      <c r="V168" s="59"/>
      <c r="W168" s="59"/>
      <c r="X168" s="59"/>
      <c r="Y168" s="59"/>
      <c r="Z168" s="59"/>
      <c r="AA168" s="59"/>
      <c r="AB168" s="60"/>
    </row>
    <row r="169" spans="1:28" x14ac:dyDescent="0.45">
      <c r="A169" s="38" t="s">
        <v>314</v>
      </c>
      <c r="B169" s="11" t="str">
        <f t="shared" si="15"/>
        <v>Total number</v>
      </c>
      <c r="D169" s="58"/>
      <c r="E169" s="59"/>
      <c r="F169" s="59"/>
      <c r="G169" s="59"/>
      <c r="H169" s="59"/>
      <c r="I169" s="105" t="s">
        <v>11</v>
      </c>
      <c r="J169" s="59"/>
      <c r="K169" s="59"/>
      <c r="L169" s="59"/>
      <c r="M169" s="59"/>
      <c r="N169" s="59"/>
      <c r="O169" s="59"/>
      <c r="P169" s="59"/>
      <c r="Q169" s="59"/>
      <c r="R169" s="59"/>
      <c r="S169" s="59"/>
      <c r="T169" s="59"/>
      <c r="U169" s="59"/>
      <c r="V169" s="59"/>
      <c r="W169" s="59"/>
      <c r="X169" s="59"/>
      <c r="Y169" s="59"/>
      <c r="Z169" s="59"/>
      <c r="AA169" s="59"/>
      <c r="AB169" s="60"/>
    </row>
    <row r="170" spans="1:28" x14ac:dyDescent="0.45">
      <c r="A170" s="38" t="s">
        <v>318</v>
      </c>
      <c r="B170" s="11" t="str">
        <f t="shared" si="15"/>
        <v>Reused</v>
      </c>
      <c r="D170" s="58"/>
      <c r="E170" s="59"/>
      <c r="F170" s="59"/>
      <c r="G170" s="59"/>
      <c r="H170" s="59"/>
      <c r="I170" s="105" t="s">
        <v>321</v>
      </c>
      <c r="J170" s="59"/>
      <c r="K170" s="59"/>
      <c r="L170" s="59"/>
      <c r="M170" s="59"/>
      <c r="N170" s="59"/>
      <c r="O170" s="59"/>
      <c r="P170" s="59"/>
      <c r="Q170" s="59"/>
      <c r="R170" s="59"/>
      <c r="S170" s="59"/>
      <c r="T170" s="59"/>
      <c r="U170" s="59"/>
      <c r="V170" s="59"/>
      <c r="W170" s="59"/>
      <c r="X170" s="59"/>
      <c r="Y170" s="59"/>
      <c r="Z170" s="59"/>
      <c r="AA170" s="59"/>
      <c r="AB170" s="60"/>
    </row>
    <row r="171" spans="1:28" x14ac:dyDescent="0.45">
      <c r="A171" s="38" t="s">
        <v>319</v>
      </c>
      <c r="B171" s="11" t="str">
        <f t="shared" si="15"/>
        <v>Returned</v>
      </c>
      <c r="D171" s="58"/>
      <c r="E171" s="59"/>
      <c r="F171" s="59"/>
      <c r="G171" s="59"/>
      <c r="H171" s="59"/>
      <c r="I171" s="105" t="s">
        <v>322</v>
      </c>
      <c r="J171" s="59"/>
      <c r="K171" s="59"/>
      <c r="L171" s="59"/>
      <c r="M171" s="59"/>
      <c r="N171" s="59"/>
      <c r="O171" s="59"/>
      <c r="P171" s="59"/>
      <c r="Q171" s="59"/>
      <c r="R171" s="59"/>
      <c r="S171" s="59"/>
      <c r="T171" s="59"/>
      <c r="U171" s="59"/>
      <c r="V171" s="59"/>
      <c r="W171" s="59"/>
      <c r="X171" s="59"/>
      <c r="Y171" s="59"/>
      <c r="Z171" s="59"/>
      <c r="AA171" s="59"/>
      <c r="AB171" s="60"/>
    </row>
    <row r="172" spans="1:28" x14ac:dyDescent="0.45">
      <c r="A172" s="38" t="s">
        <v>320</v>
      </c>
      <c r="B172" s="11" t="str">
        <f t="shared" si="15"/>
        <v>Rehomed</v>
      </c>
      <c r="D172" s="58"/>
      <c r="E172" s="59"/>
      <c r="F172" s="59"/>
      <c r="G172" s="59"/>
      <c r="H172" s="59"/>
      <c r="I172" s="105" t="s">
        <v>323</v>
      </c>
      <c r="J172" s="59"/>
      <c r="K172" s="59"/>
      <c r="L172" s="59"/>
      <c r="M172" s="59"/>
      <c r="N172" s="59"/>
      <c r="O172" s="59"/>
      <c r="P172" s="59"/>
      <c r="Q172" s="59"/>
      <c r="R172" s="59"/>
      <c r="S172" s="59"/>
      <c r="T172" s="59"/>
      <c r="U172" s="59"/>
      <c r="V172" s="59"/>
      <c r="W172" s="59"/>
      <c r="X172" s="59"/>
      <c r="Y172" s="59"/>
      <c r="Z172" s="59"/>
      <c r="AA172" s="59"/>
      <c r="AB172" s="60"/>
    </row>
    <row r="173" spans="1:28" x14ac:dyDescent="0.45">
      <c r="A173" s="38" t="s">
        <v>324</v>
      </c>
      <c r="B173" s="11" t="str">
        <f t="shared" si="15"/>
        <v>Describe the objectives of the project (for example, addressing certain scientific unknowns, or scientific or clinical needs).</v>
      </c>
      <c r="D173" s="58"/>
      <c r="E173" s="59"/>
      <c r="F173" s="59"/>
      <c r="G173" s="59"/>
      <c r="H173" s="59"/>
      <c r="I173" s="105" t="s">
        <v>325</v>
      </c>
      <c r="J173" s="59"/>
      <c r="K173" s="59"/>
      <c r="L173" s="59"/>
      <c r="M173" s="59"/>
      <c r="N173" s="59"/>
      <c r="O173" s="59"/>
      <c r="P173" s="59"/>
      <c r="Q173" s="59"/>
      <c r="R173" s="59"/>
      <c r="S173" s="59"/>
      <c r="T173" s="59"/>
      <c r="U173" s="59"/>
      <c r="V173" s="59"/>
      <c r="W173" s="59"/>
      <c r="X173" s="59"/>
      <c r="Y173" s="59"/>
      <c r="Z173" s="59"/>
      <c r="AA173" s="59"/>
      <c r="AB173" s="60"/>
    </row>
    <row r="174" spans="1:28" x14ac:dyDescent="0.45">
      <c r="A174" s="38" t="s">
        <v>326</v>
      </c>
      <c r="B174" s="11" t="str">
        <f t="shared" si="15"/>
        <v>What are the potential benefits likely to derive from this project? Explain how science could be advanced, or humans, animals or environment may ultimately benefit from the project. Where applicable, differentiate between short-term benefits (within the duration of the project) and long-term benefits (which may accrue after the project is finished).</v>
      </c>
      <c r="D174" s="58"/>
      <c r="E174" s="59"/>
      <c r="F174" s="59"/>
      <c r="G174" s="59"/>
      <c r="H174" s="59"/>
      <c r="I174" s="105" t="s">
        <v>327</v>
      </c>
      <c r="J174" s="59"/>
      <c r="K174" s="59"/>
      <c r="L174" s="59"/>
      <c r="M174" s="59"/>
      <c r="N174" s="59"/>
      <c r="O174" s="59"/>
      <c r="P174" s="59"/>
      <c r="Q174" s="59"/>
      <c r="R174" s="59"/>
      <c r="S174" s="59"/>
      <c r="T174" s="59"/>
      <c r="U174" s="59"/>
      <c r="V174" s="59"/>
      <c r="W174" s="59"/>
      <c r="X174" s="59"/>
      <c r="Y174" s="59"/>
      <c r="Z174" s="59"/>
      <c r="AA174" s="59"/>
      <c r="AB174" s="60"/>
    </row>
    <row r="175" spans="1:28" x14ac:dyDescent="0.45">
      <c r="A175" s="38" t="s">
        <v>328</v>
      </c>
      <c r="B175" s="11" t="str">
        <f t="shared" si="15"/>
        <v>In what procedures will the animals typically be used (for example, injections, surgical procedures)? Indicate the number and duration of these procedures.</v>
      </c>
      <c r="D175" s="58"/>
      <c r="E175" s="59"/>
      <c r="F175" s="59"/>
      <c r="G175" s="59"/>
      <c r="H175" s="59"/>
      <c r="I175" s="105" t="s">
        <v>329</v>
      </c>
      <c r="J175" s="59"/>
      <c r="K175" s="59"/>
      <c r="L175" s="59"/>
      <c r="M175" s="59"/>
      <c r="N175" s="59"/>
      <c r="O175" s="59"/>
      <c r="P175" s="59"/>
      <c r="Q175" s="59"/>
      <c r="R175" s="59"/>
      <c r="S175" s="59"/>
      <c r="T175" s="59"/>
      <c r="U175" s="59"/>
      <c r="V175" s="59"/>
      <c r="W175" s="59"/>
      <c r="X175" s="59"/>
      <c r="Y175" s="59"/>
      <c r="Z175" s="59"/>
      <c r="AA175" s="59"/>
      <c r="AB175" s="60"/>
    </row>
    <row r="176" spans="1:28" x14ac:dyDescent="0.45">
      <c r="A176" s="38" t="s">
        <v>330</v>
      </c>
      <c r="B176" s="11" t="str">
        <f t="shared" si="15"/>
        <v>What are the expected impacts/adverse effects on the animals, for example pain, weight loss, inactivity/reduced mobility, stress, abnormal behaviour, and the duration of those effects?</v>
      </c>
      <c r="D176" s="58"/>
      <c r="E176" s="59"/>
      <c r="F176" s="59"/>
      <c r="G176" s="59"/>
      <c r="H176" s="59"/>
      <c r="I176" s="105" t="s">
        <v>331</v>
      </c>
      <c r="J176" s="59"/>
      <c r="K176" s="59"/>
      <c r="L176" s="59"/>
      <c r="M176" s="59"/>
      <c r="N176" s="59"/>
      <c r="O176" s="59"/>
      <c r="P176" s="59"/>
      <c r="Q176" s="59"/>
      <c r="R176" s="59"/>
      <c r="S176" s="59"/>
      <c r="T176" s="59"/>
      <c r="U176" s="59"/>
      <c r="V176" s="59"/>
      <c r="W176" s="59"/>
      <c r="X176" s="59"/>
      <c r="Y176" s="59"/>
      <c r="Z176" s="59"/>
      <c r="AA176" s="59"/>
      <c r="AB176" s="60"/>
    </row>
    <row r="177" spans="1:28" x14ac:dyDescent="0.45">
      <c r="A177" s="38" t="s">
        <v>349</v>
      </c>
      <c r="B177" s="11" t="str">
        <f t="shared" si="15"/>
        <v>What species and numbers of animals are expected to be used? What are the expected severities and the numbers of animals in each severity category (per species)?</v>
      </c>
      <c r="D177" s="58"/>
      <c r="E177" s="59"/>
      <c r="F177" s="59"/>
      <c r="G177" s="59"/>
      <c r="H177" s="59"/>
      <c r="I177" s="105" t="s">
        <v>332</v>
      </c>
      <c r="J177" s="59"/>
      <c r="K177" s="59"/>
      <c r="L177" s="59"/>
      <c r="M177" s="59"/>
      <c r="N177" s="59"/>
      <c r="O177" s="59"/>
      <c r="P177" s="59"/>
      <c r="Q177" s="59"/>
      <c r="R177" s="59"/>
      <c r="S177" s="59"/>
      <c r="T177" s="59"/>
      <c r="U177" s="59"/>
      <c r="V177" s="59"/>
      <c r="W177" s="59"/>
      <c r="X177" s="59"/>
      <c r="Y177" s="59"/>
      <c r="Z177" s="59"/>
      <c r="AA177" s="59"/>
      <c r="AB177" s="60"/>
    </row>
    <row r="178" spans="1:28" x14ac:dyDescent="0.45">
      <c r="A178" s="38" t="s">
        <v>333</v>
      </c>
      <c r="B178" s="11" t="str">
        <f t="shared" si="15"/>
        <v>What will happen to the animals kept alive at the end of the procedure?</v>
      </c>
      <c r="D178" s="58"/>
      <c r="E178" s="59"/>
      <c r="F178" s="59"/>
      <c r="G178" s="59"/>
      <c r="H178" s="59"/>
      <c r="I178" s="105" t="s">
        <v>334</v>
      </c>
      <c r="J178" s="59"/>
      <c r="K178" s="59"/>
      <c r="L178" s="59"/>
      <c r="M178" s="59"/>
      <c r="N178" s="59"/>
      <c r="O178" s="59"/>
      <c r="P178" s="59"/>
      <c r="Q178" s="59"/>
      <c r="R178" s="59"/>
      <c r="S178" s="59"/>
      <c r="T178" s="59"/>
      <c r="U178" s="59"/>
      <c r="V178" s="59"/>
      <c r="W178" s="59"/>
      <c r="X178" s="59"/>
      <c r="Y178" s="59"/>
      <c r="Z178" s="59"/>
      <c r="AA178" s="59"/>
      <c r="AB178" s="60"/>
    </row>
    <row r="179" spans="1:28" x14ac:dyDescent="0.45">
      <c r="A179" s="38" t="s">
        <v>335</v>
      </c>
      <c r="B179" s="11" t="str">
        <f t="shared" si="15"/>
        <v>Please provide reasons for the planned fate of the animals after the procedure.</v>
      </c>
      <c r="D179" s="58"/>
      <c r="E179" s="59"/>
      <c r="F179" s="59"/>
      <c r="G179" s="59"/>
      <c r="H179" s="59"/>
      <c r="I179" s="105" t="s">
        <v>336</v>
      </c>
      <c r="J179" s="59"/>
      <c r="K179" s="59"/>
      <c r="L179" s="59"/>
      <c r="M179" s="59"/>
      <c r="N179" s="59"/>
      <c r="O179" s="59"/>
      <c r="P179" s="59"/>
      <c r="Q179" s="59"/>
      <c r="R179" s="59"/>
      <c r="S179" s="59"/>
      <c r="T179" s="59"/>
      <c r="U179" s="59"/>
      <c r="V179" s="59"/>
      <c r="W179" s="59"/>
      <c r="X179" s="59"/>
      <c r="Y179" s="59"/>
      <c r="Z179" s="59"/>
      <c r="AA179" s="59"/>
      <c r="AB179" s="60"/>
    </row>
    <row r="180" spans="1:28" x14ac:dyDescent="0.45">
      <c r="A180" s="38" t="s">
        <v>337</v>
      </c>
      <c r="B180" s="11" t="str">
        <f t="shared" si="15"/>
        <v>State which non-animal alternatives are available in this field and why they cannot be used for the purposes of the project.</v>
      </c>
      <c r="D180" s="58"/>
      <c r="E180" s="59"/>
      <c r="F180" s="59"/>
      <c r="G180" s="59"/>
      <c r="H180" s="59"/>
      <c r="I180" s="105" t="s">
        <v>338</v>
      </c>
      <c r="J180" s="59"/>
      <c r="K180" s="59"/>
      <c r="L180" s="59"/>
      <c r="M180" s="59"/>
      <c r="N180" s="59"/>
      <c r="O180" s="59"/>
      <c r="P180" s="59"/>
      <c r="Q180" s="59"/>
      <c r="R180" s="59"/>
      <c r="S180" s="59"/>
      <c r="T180" s="59"/>
      <c r="U180" s="59"/>
      <c r="V180" s="59"/>
      <c r="W180" s="59"/>
      <c r="X180" s="59"/>
      <c r="Y180" s="59"/>
      <c r="Z180" s="59"/>
      <c r="AA180" s="59"/>
      <c r="AB180" s="60"/>
    </row>
    <row r="181" spans="1:28" x14ac:dyDescent="0.45">
      <c r="A181" s="38" t="s">
        <v>339</v>
      </c>
      <c r="B181" s="11" t="str">
        <f t="shared" si="15"/>
        <v>Explain how the numbers of animals for this project were determined. Describe steps that have been taken to reduce the number of animals to be used, and principles used to design studies. Where applicable, describe practices that will be used throughout the project to minimise the number of animals used consistent with scientific objectives. Those practices may include e.g. pilot studies, computer modelling, sharing of tissue and reuse.</v>
      </c>
      <c r="D181" s="58"/>
      <c r="E181" s="59"/>
      <c r="F181" s="59"/>
      <c r="G181" s="59"/>
      <c r="H181" s="59"/>
      <c r="I181" s="105" t="s">
        <v>340</v>
      </c>
      <c r="J181" s="59"/>
      <c r="K181" s="59"/>
      <c r="L181" s="59"/>
      <c r="M181" s="59"/>
      <c r="N181" s="59"/>
      <c r="O181" s="59"/>
      <c r="P181" s="59"/>
      <c r="Q181" s="59"/>
      <c r="R181" s="59"/>
      <c r="S181" s="59"/>
      <c r="T181" s="59"/>
      <c r="U181" s="59"/>
      <c r="V181" s="59"/>
      <c r="W181" s="59"/>
      <c r="X181" s="59"/>
      <c r="Y181" s="59"/>
      <c r="Z181" s="59"/>
      <c r="AA181" s="59"/>
      <c r="AB181" s="60"/>
    </row>
    <row r="182" spans="1:28" x14ac:dyDescent="0.45">
      <c r="A182" s="38" t="s">
        <v>341</v>
      </c>
      <c r="B182" s="11" t="str">
        <f t="shared" si="15"/>
        <v>Give examples of the specific measures (e.g., increased monitoring, post-operative care, pain management, training of animals) to be taken, in relation to the procedures, to minimise welfare costs (harms) to the animals. Describe the mechanisms to take up emerging refinement techniques during the lifetime of the project.</v>
      </c>
      <c r="D182" s="58"/>
      <c r="E182" s="59"/>
      <c r="F182" s="59"/>
      <c r="G182" s="59"/>
      <c r="H182" s="59"/>
      <c r="I182" s="105" t="s">
        <v>342</v>
      </c>
      <c r="J182" s="59"/>
      <c r="K182" s="59"/>
      <c r="L182" s="59"/>
      <c r="M182" s="59"/>
      <c r="N182" s="59"/>
      <c r="O182" s="59"/>
      <c r="P182" s="59"/>
      <c r="Q182" s="59"/>
      <c r="R182" s="59"/>
      <c r="S182" s="59"/>
      <c r="T182" s="59"/>
      <c r="U182" s="59"/>
      <c r="V182" s="59"/>
      <c r="W182" s="59"/>
      <c r="X182" s="59"/>
      <c r="Y182" s="59"/>
      <c r="Z182" s="59"/>
      <c r="AA182" s="59"/>
      <c r="AB182" s="60"/>
    </row>
    <row r="183" spans="1:28" x14ac:dyDescent="0.45">
      <c r="A183" s="38" t="s">
        <v>343</v>
      </c>
      <c r="B183" s="11" t="str">
        <f t="shared" si="15"/>
        <v>Estimated numbers per severity</v>
      </c>
      <c r="D183" s="58"/>
      <c r="E183" s="59"/>
      <c r="F183" s="59"/>
      <c r="G183" s="59"/>
      <c r="H183" s="59"/>
      <c r="I183" s="105" t="s">
        <v>344</v>
      </c>
      <c r="J183" s="59"/>
      <c r="K183" s="59"/>
      <c r="L183" s="59"/>
      <c r="M183" s="59"/>
      <c r="N183" s="59"/>
      <c r="O183" s="59"/>
      <c r="P183" s="59"/>
      <c r="Q183" s="59"/>
      <c r="R183" s="59"/>
      <c r="S183" s="59"/>
      <c r="T183" s="59"/>
      <c r="U183" s="59"/>
      <c r="V183" s="59"/>
      <c r="W183" s="59"/>
      <c r="X183" s="59"/>
      <c r="Y183" s="59"/>
      <c r="Z183" s="59"/>
      <c r="AA183" s="59"/>
      <c r="AB183" s="60"/>
    </row>
    <row r="184" spans="1:28" x14ac:dyDescent="0.45">
      <c r="A184" s="38" t="s">
        <v>346</v>
      </c>
      <c r="B184" s="11" t="str">
        <f t="shared" si="15"/>
        <v>Estimated numbers of animals to be reused, to be returned to habitat/husbandry system or to be rehomed</v>
      </c>
      <c r="D184" s="58"/>
      <c r="E184" s="59"/>
      <c r="F184" s="59"/>
      <c r="G184" s="59"/>
      <c r="H184" s="59"/>
      <c r="I184" s="105" t="s">
        <v>345</v>
      </c>
      <c r="J184" s="59"/>
      <c r="K184" s="59"/>
      <c r="L184" s="59"/>
      <c r="M184" s="59"/>
      <c r="N184" s="59"/>
      <c r="O184" s="59"/>
      <c r="P184" s="59"/>
      <c r="Q184" s="59"/>
      <c r="R184" s="59"/>
      <c r="S184" s="59"/>
      <c r="T184" s="59"/>
      <c r="U184" s="59"/>
      <c r="V184" s="59"/>
      <c r="W184" s="59"/>
      <c r="X184" s="59"/>
      <c r="Y184" s="59"/>
      <c r="Z184" s="59"/>
      <c r="AA184" s="59"/>
      <c r="AB184" s="60"/>
    </row>
    <row r="185" spans="1:28" x14ac:dyDescent="0.45">
      <c r="A185" s="38" t="s">
        <v>350</v>
      </c>
      <c r="B185" s="11" t="str">
        <f t="shared" si="14"/>
        <v>Compulsory!</v>
      </c>
      <c r="D185" s="58"/>
      <c r="E185" s="59"/>
      <c r="F185" s="59"/>
      <c r="G185" s="59"/>
      <c r="H185" s="59"/>
      <c r="I185" s="105" t="s">
        <v>555</v>
      </c>
      <c r="J185" s="59"/>
      <c r="K185" s="59"/>
      <c r="L185" s="59"/>
      <c r="M185" s="59"/>
      <c r="N185" s="59"/>
      <c r="O185" s="59"/>
      <c r="P185" s="59"/>
      <c r="Q185" s="59"/>
      <c r="R185" s="59"/>
      <c r="S185" s="59"/>
      <c r="T185" s="59"/>
      <c r="U185" s="59"/>
      <c r="V185" s="59"/>
      <c r="W185" s="59"/>
      <c r="X185" s="59"/>
      <c r="Y185" s="59"/>
      <c r="Z185" s="59"/>
      <c r="AA185" s="59"/>
      <c r="AB185" s="60"/>
    </row>
    <row r="186" spans="1:28" x14ac:dyDescent="0.45">
      <c r="A186" s="38" t="s">
        <v>499</v>
      </c>
      <c r="B186" s="11" t="str">
        <f t="shared" si="14"/>
        <v>Applicable to those MS where this information is required by the legislation.</v>
      </c>
      <c r="D186" s="58"/>
      <c r="E186" s="59"/>
      <c r="F186" s="59"/>
      <c r="G186" s="59"/>
      <c r="H186" s="59"/>
      <c r="I186" s="105" t="s">
        <v>562</v>
      </c>
      <c r="J186" s="59"/>
      <c r="K186" s="59"/>
      <c r="L186" s="59"/>
      <c r="M186" s="59"/>
      <c r="N186" s="59"/>
      <c r="O186" s="59"/>
      <c r="P186" s="59"/>
      <c r="Q186" s="59"/>
      <c r="R186" s="59"/>
      <c r="S186" s="59"/>
      <c r="T186" s="59"/>
      <c r="U186" s="59"/>
      <c r="V186" s="59"/>
      <c r="W186" s="59"/>
      <c r="X186" s="59"/>
      <c r="Y186" s="59"/>
      <c r="Z186" s="59"/>
      <c r="AA186" s="59"/>
      <c r="AB186" s="60"/>
    </row>
    <row r="187" spans="1:28" x14ac:dyDescent="0.45">
      <c r="A187" s="38" t="s">
        <v>351</v>
      </c>
      <c r="B187" s="11" t="str">
        <f t="shared" si="14"/>
        <v>Maximum length is 100 characters.</v>
      </c>
      <c r="D187" s="58"/>
      <c r="E187" s="59"/>
      <c r="F187" s="59"/>
      <c r="G187" s="59"/>
      <c r="H187" s="59"/>
      <c r="I187" s="105" t="s">
        <v>352</v>
      </c>
      <c r="J187" s="59"/>
      <c r="K187" s="59"/>
      <c r="L187" s="59"/>
      <c r="M187" s="59"/>
      <c r="N187" s="59"/>
      <c r="O187" s="59"/>
      <c r="P187" s="59"/>
      <c r="Q187" s="59"/>
      <c r="R187" s="59"/>
      <c r="S187" s="59"/>
      <c r="T187" s="59"/>
      <c r="U187" s="59"/>
      <c r="V187" s="59"/>
      <c r="W187" s="59"/>
      <c r="X187" s="59"/>
      <c r="Y187" s="59"/>
      <c r="Z187" s="59"/>
      <c r="AA187" s="59"/>
      <c r="AB187" s="60"/>
    </row>
    <row r="188" spans="1:28" x14ac:dyDescent="0.45">
      <c r="A188" s="38" t="s">
        <v>360</v>
      </c>
      <c r="B188" s="11" t="str">
        <f t="shared" si="14"/>
        <v>Project duration expressed in months.</v>
      </c>
      <c r="D188" s="58"/>
      <c r="E188" s="59"/>
      <c r="F188" s="59"/>
      <c r="G188" s="59"/>
      <c r="H188" s="59"/>
      <c r="I188" s="105" t="s">
        <v>362</v>
      </c>
      <c r="J188" s="59"/>
      <c r="K188" s="59"/>
      <c r="L188" s="59"/>
      <c r="M188" s="59"/>
      <c r="N188" s="59"/>
      <c r="O188" s="59"/>
      <c r="P188" s="59"/>
      <c r="Q188" s="59"/>
      <c r="R188" s="59"/>
      <c r="S188" s="59"/>
      <c r="T188" s="59"/>
      <c r="U188" s="59"/>
      <c r="V188" s="59"/>
      <c r="W188" s="59"/>
      <c r="X188" s="59"/>
      <c r="Y188" s="59"/>
      <c r="Z188" s="59"/>
      <c r="AA188" s="59"/>
      <c r="AB188" s="60"/>
    </row>
    <row r="189" spans="1:28" x14ac:dyDescent="0.45">
      <c r="A189" s="38" t="s">
        <v>361</v>
      </c>
      <c r="B189" s="11" t="str">
        <f t="shared" si="14"/>
        <v>Must be a whole number between 1 and 60!</v>
      </c>
      <c r="D189" s="58"/>
      <c r="E189" s="59"/>
      <c r="F189" s="59"/>
      <c r="G189" s="59"/>
      <c r="H189" s="59"/>
      <c r="I189" s="105" t="s">
        <v>507</v>
      </c>
      <c r="J189" s="59"/>
      <c r="K189" s="59"/>
      <c r="L189" s="59"/>
      <c r="M189" s="59"/>
      <c r="N189" s="59"/>
      <c r="O189" s="59"/>
      <c r="P189" s="59"/>
      <c r="Q189" s="59"/>
      <c r="R189" s="59"/>
      <c r="S189" s="59"/>
      <c r="T189" s="59"/>
      <c r="U189" s="59"/>
      <c r="V189" s="59"/>
      <c r="W189" s="59"/>
      <c r="X189" s="59"/>
      <c r="Y189" s="59"/>
      <c r="Z189" s="59"/>
      <c r="AA189" s="59"/>
      <c r="AB189" s="60"/>
    </row>
    <row r="190" spans="1:28" x14ac:dyDescent="0.45">
      <c r="A190" s="38" t="s">
        <v>353</v>
      </c>
      <c r="B190" s="11" t="str">
        <f t="shared" si="14"/>
        <v>Maximum length is 50 characters including spaces.</v>
      </c>
      <c r="D190" s="58"/>
      <c r="E190" s="59"/>
      <c r="F190" s="59"/>
      <c r="G190" s="59"/>
      <c r="H190" s="59"/>
      <c r="I190" s="105" t="s">
        <v>500</v>
      </c>
      <c r="J190" s="59"/>
      <c r="K190" s="59"/>
      <c r="L190" s="59"/>
      <c r="M190" s="59"/>
      <c r="N190" s="59"/>
      <c r="O190" s="59"/>
      <c r="P190" s="59"/>
      <c r="Q190" s="59"/>
      <c r="R190" s="59"/>
      <c r="S190" s="59"/>
      <c r="T190" s="59"/>
      <c r="U190" s="59"/>
      <c r="V190" s="59"/>
      <c r="W190" s="59"/>
      <c r="X190" s="59"/>
      <c r="Y190" s="59"/>
      <c r="Z190" s="59"/>
      <c r="AA190" s="59"/>
      <c r="AB190" s="60"/>
    </row>
    <row r="191" spans="1:28" x14ac:dyDescent="0.45">
      <c r="A191" s="38" t="s">
        <v>356</v>
      </c>
      <c r="B191" s="11" t="str">
        <f t="shared" si="14"/>
        <v>Maximum length is 2500 characters.</v>
      </c>
      <c r="D191" s="58"/>
      <c r="E191" s="59"/>
      <c r="F191" s="59"/>
      <c r="G191" s="59"/>
      <c r="H191" s="59"/>
      <c r="I191" s="105" t="s">
        <v>357</v>
      </c>
      <c r="J191" s="59"/>
      <c r="K191" s="59"/>
      <c r="L191" s="59"/>
      <c r="M191" s="59"/>
      <c r="N191" s="59"/>
      <c r="O191" s="59"/>
      <c r="P191" s="59"/>
      <c r="Q191" s="59"/>
      <c r="R191" s="59"/>
      <c r="S191" s="59"/>
      <c r="T191" s="59"/>
      <c r="U191" s="59"/>
      <c r="V191" s="59"/>
      <c r="W191" s="59"/>
      <c r="X191" s="59"/>
      <c r="Y191" s="59"/>
      <c r="Z191" s="59"/>
      <c r="AA191" s="59"/>
      <c r="AB191" s="60"/>
    </row>
    <row r="192" spans="1:28" x14ac:dyDescent="0.45">
      <c r="A192" s="38" t="s">
        <v>358</v>
      </c>
      <c r="B192" s="11" t="str">
        <f t="shared" si="14"/>
        <v>Maximum length is 500 characters.</v>
      </c>
      <c r="D192" s="58"/>
      <c r="E192" s="59"/>
      <c r="F192" s="59"/>
      <c r="G192" s="59"/>
      <c r="H192" s="59"/>
      <c r="I192" s="105" t="s">
        <v>359</v>
      </c>
      <c r="J192" s="59"/>
      <c r="K192" s="59"/>
      <c r="L192" s="59"/>
      <c r="M192" s="59"/>
      <c r="N192" s="59"/>
      <c r="O192" s="59"/>
      <c r="P192" s="59"/>
      <c r="Q192" s="59"/>
      <c r="R192" s="59"/>
      <c r="S192" s="59"/>
      <c r="T192" s="59"/>
      <c r="U192" s="59"/>
      <c r="V192" s="59"/>
      <c r="W192" s="59"/>
      <c r="X192" s="59"/>
      <c r="Y192" s="59"/>
      <c r="Z192" s="59"/>
      <c r="AA192" s="59"/>
      <c r="AB192" s="60"/>
    </row>
    <row r="193" spans="1:28" x14ac:dyDescent="0.45">
      <c r="A193" s="38" t="s">
        <v>365</v>
      </c>
      <c r="B193" s="11" t="str">
        <f t="shared" si="14"/>
        <v>National identifier of the NTS.</v>
      </c>
      <c r="D193" s="58"/>
      <c r="E193" s="59"/>
      <c r="F193" s="59"/>
      <c r="G193" s="59"/>
      <c r="H193" s="59"/>
      <c r="I193" s="105" t="s">
        <v>508</v>
      </c>
      <c r="J193" s="59"/>
      <c r="K193" s="59"/>
      <c r="L193" s="59"/>
      <c r="M193" s="59"/>
      <c r="N193" s="59"/>
      <c r="O193" s="59"/>
      <c r="P193" s="59"/>
      <c r="Q193" s="59"/>
      <c r="R193" s="59"/>
      <c r="S193" s="59"/>
      <c r="T193" s="59"/>
      <c r="U193" s="59"/>
      <c r="V193" s="59"/>
      <c r="W193" s="59"/>
      <c r="X193" s="59"/>
      <c r="Y193" s="59"/>
      <c r="Z193" s="59"/>
      <c r="AA193" s="59"/>
      <c r="AB193" s="60"/>
    </row>
    <row r="194" spans="1:28" x14ac:dyDescent="0.45">
      <c r="A194" s="38" t="s">
        <v>366</v>
      </c>
      <c r="B194" s="11" t="str">
        <f t="shared" si="14"/>
        <v>Please fill-in 'Expected harms' sheet. At least one row must be filled-in!</v>
      </c>
      <c r="D194" s="58"/>
      <c r="E194" s="59"/>
      <c r="F194" s="59"/>
      <c r="G194" s="59"/>
      <c r="H194" s="59"/>
      <c r="I194" s="105" t="s">
        <v>367</v>
      </c>
      <c r="J194" s="59"/>
      <c r="K194" s="59"/>
      <c r="L194" s="59"/>
      <c r="M194" s="59"/>
      <c r="N194" s="59"/>
      <c r="O194" s="59"/>
      <c r="P194" s="59"/>
      <c r="Q194" s="59"/>
      <c r="R194" s="59"/>
      <c r="S194" s="59"/>
      <c r="T194" s="59"/>
      <c r="U194" s="59"/>
      <c r="V194" s="59"/>
      <c r="W194" s="59"/>
      <c r="X194" s="59"/>
      <c r="Y194" s="59"/>
      <c r="Z194" s="59"/>
      <c r="AA194" s="59"/>
      <c r="AB194" s="60"/>
    </row>
    <row r="195" spans="1:28" x14ac:dyDescent="0.45">
      <c r="A195" s="38" t="s">
        <v>368</v>
      </c>
      <c r="B195" s="11" t="str">
        <f t="shared" si="14"/>
        <v xml:space="preserve">Please fill-in 'Fate of animals kept alive' sheet if applicable. </v>
      </c>
      <c r="D195" s="58"/>
      <c r="E195" s="59"/>
      <c r="F195" s="59"/>
      <c r="G195" s="59"/>
      <c r="H195" s="59"/>
      <c r="I195" s="105" t="s">
        <v>369</v>
      </c>
      <c r="J195" s="59"/>
      <c r="K195" s="59"/>
      <c r="L195" s="59"/>
      <c r="M195" s="59"/>
      <c r="N195" s="59"/>
      <c r="O195" s="59"/>
      <c r="P195" s="59"/>
      <c r="Q195" s="59"/>
      <c r="R195" s="59"/>
      <c r="S195" s="59"/>
      <c r="T195" s="59"/>
      <c r="U195" s="59"/>
      <c r="V195" s="59"/>
      <c r="W195" s="59"/>
      <c r="X195" s="59"/>
      <c r="Y195" s="59"/>
      <c r="Z195" s="59"/>
      <c r="AA195" s="59"/>
      <c r="AB195" s="60"/>
    </row>
    <row r="196" spans="1:28" x14ac:dyDescent="0.45">
      <c r="A196" s="38" t="s">
        <v>370</v>
      </c>
      <c r="B196" s="11" t="str">
        <f t="shared" si="14"/>
        <v>Format is dd-mm-yyyy or dd/mm/yyyy depending on your system settings (e.g. 27-05-2022 or 27/05/2022)</v>
      </c>
      <c r="D196" s="58"/>
      <c r="E196" s="59"/>
      <c r="F196" s="59"/>
      <c r="G196" s="59"/>
      <c r="H196" s="59"/>
      <c r="I196" s="105" t="s">
        <v>549</v>
      </c>
      <c r="J196" s="59"/>
      <c r="K196" s="59"/>
      <c r="L196" s="59"/>
      <c r="M196" s="59"/>
      <c r="N196" s="59"/>
      <c r="O196" s="59"/>
      <c r="P196" s="59"/>
      <c r="Q196" s="59"/>
      <c r="R196" s="59"/>
      <c r="S196" s="59"/>
      <c r="T196" s="59"/>
      <c r="U196" s="59"/>
      <c r="V196" s="59"/>
      <c r="W196" s="59"/>
      <c r="X196" s="59"/>
      <c r="Y196" s="59"/>
      <c r="Z196" s="59"/>
      <c r="AA196" s="59"/>
      <c r="AB196" s="60"/>
    </row>
    <row r="197" spans="1:28" x14ac:dyDescent="0.45">
      <c r="A197" s="38" t="s">
        <v>386</v>
      </c>
      <c r="B197" s="11" t="str">
        <f t="shared" si="14"/>
        <v>Additional fields</v>
      </c>
      <c r="D197" s="58"/>
      <c r="E197" s="59"/>
      <c r="F197" s="59"/>
      <c r="G197" s="59"/>
      <c r="H197" s="59"/>
      <c r="I197" s="105" t="s">
        <v>387</v>
      </c>
      <c r="J197" s="59"/>
      <c r="K197" s="59"/>
      <c r="L197" s="59"/>
      <c r="M197" s="59"/>
      <c r="N197" s="59"/>
      <c r="O197" s="59"/>
      <c r="P197" s="59"/>
      <c r="Q197" s="59"/>
      <c r="R197" s="59"/>
      <c r="S197" s="59"/>
      <c r="T197" s="59"/>
      <c r="U197" s="59"/>
      <c r="V197" s="59"/>
      <c r="W197" s="59"/>
      <c r="X197" s="59"/>
      <c r="Y197" s="59"/>
      <c r="Z197" s="59"/>
      <c r="AA197" s="59"/>
      <c r="AB197" s="60"/>
    </row>
    <row r="198" spans="1:28" x14ac:dyDescent="0.45">
      <c r="A198" s="38" t="s">
        <v>388</v>
      </c>
      <c r="B198" s="11" t="str">
        <f t="shared" si="14"/>
        <v>Whether the particular field is applicable or not, depends on national rules.</v>
      </c>
      <c r="D198" s="58"/>
      <c r="E198" s="59"/>
      <c r="F198" s="59"/>
      <c r="G198" s="59"/>
      <c r="H198" s="59"/>
      <c r="I198" s="105" t="s">
        <v>394</v>
      </c>
      <c r="J198" s="59"/>
      <c r="K198" s="59"/>
      <c r="L198" s="59"/>
      <c r="M198" s="59"/>
      <c r="N198" s="59"/>
      <c r="O198" s="59"/>
      <c r="P198" s="59"/>
      <c r="Q198" s="59"/>
      <c r="R198" s="59"/>
      <c r="S198" s="59"/>
      <c r="T198" s="59"/>
      <c r="U198" s="59"/>
      <c r="V198" s="59"/>
      <c r="W198" s="59"/>
      <c r="X198" s="59"/>
      <c r="Y198" s="59"/>
      <c r="Z198" s="59"/>
      <c r="AA198" s="59"/>
      <c r="AB198" s="60"/>
    </row>
    <row r="199" spans="1:28" x14ac:dyDescent="0.45">
      <c r="A199" s="38" t="s">
        <v>389</v>
      </c>
      <c r="B199" s="11" t="str">
        <f t="shared" si="14"/>
        <v>Project start date</v>
      </c>
      <c r="D199" s="58"/>
      <c r="E199" s="59"/>
      <c r="F199" s="59"/>
      <c r="G199" s="59"/>
      <c r="H199" s="59"/>
      <c r="I199" s="105" t="s">
        <v>390</v>
      </c>
      <c r="J199" s="59"/>
      <c r="K199" s="59"/>
      <c r="L199" s="59"/>
      <c r="M199" s="59"/>
      <c r="N199" s="59"/>
      <c r="O199" s="59"/>
      <c r="P199" s="59"/>
      <c r="Q199" s="59"/>
      <c r="R199" s="59"/>
      <c r="S199" s="59"/>
      <c r="T199" s="59"/>
      <c r="U199" s="59"/>
      <c r="V199" s="59"/>
      <c r="W199" s="59"/>
      <c r="X199" s="59"/>
      <c r="Y199" s="59"/>
      <c r="Z199" s="59"/>
      <c r="AA199" s="59"/>
      <c r="AB199" s="60"/>
    </row>
    <row r="200" spans="1:28" x14ac:dyDescent="0.45">
      <c r="A200" s="38" t="s">
        <v>395</v>
      </c>
      <c r="B200" s="11" t="str">
        <f t="shared" ref="B200" si="16">IF(TRIM(HLOOKUP(language_or_default,textTranslations,MATCH(A200,text,0),FALSE))="",HLOOKUP("en",textTranslations,MATCH(A200,text,0),FALSE),HLOOKUP(language_or_default,textTranslations,MATCH(A200,text,0),FALSE))</f>
        <v>Project end date</v>
      </c>
      <c r="D200" s="58"/>
      <c r="E200" s="59"/>
      <c r="F200" s="59"/>
      <c r="G200" s="59"/>
      <c r="H200" s="59"/>
      <c r="I200" s="105" t="s">
        <v>396</v>
      </c>
      <c r="J200" s="59"/>
      <c r="K200" s="59"/>
      <c r="L200" s="59"/>
      <c r="M200" s="59"/>
      <c r="N200" s="59"/>
      <c r="O200" s="59"/>
      <c r="P200" s="59"/>
      <c r="Q200" s="59"/>
      <c r="R200" s="59"/>
      <c r="S200" s="59"/>
      <c r="T200" s="59"/>
      <c r="U200" s="59"/>
      <c r="V200" s="59"/>
      <c r="W200" s="59"/>
      <c r="X200" s="59"/>
      <c r="Y200" s="59"/>
      <c r="Z200" s="59"/>
      <c r="AA200" s="59"/>
      <c r="AB200" s="60"/>
    </row>
    <row r="201" spans="1:28" x14ac:dyDescent="0.45">
      <c r="A201" s="38" t="s">
        <v>399</v>
      </c>
      <c r="B201" s="11" t="str">
        <f t="shared" si="14"/>
        <v>Project approval date</v>
      </c>
      <c r="D201" s="58"/>
      <c r="E201" s="59"/>
      <c r="F201" s="59"/>
      <c r="G201" s="59"/>
      <c r="H201" s="59"/>
      <c r="I201" s="105" t="s">
        <v>400</v>
      </c>
      <c r="J201" s="59"/>
      <c r="K201" s="59"/>
      <c r="L201" s="59"/>
      <c r="M201" s="59"/>
      <c r="N201" s="59"/>
      <c r="O201" s="59"/>
      <c r="P201" s="59"/>
      <c r="Q201" s="59"/>
      <c r="R201" s="59"/>
      <c r="S201" s="59"/>
      <c r="T201" s="59"/>
      <c r="U201" s="59"/>
      <c r="V201" s="59"/>
      <c r="W201" s="59"/>
      <c r="X201" s="59"/>
      <c r="Y201" s="59"/>
      <c r="Z201" s="59"/>
      <c r="AA201" s="59"/>
      <c r="AB201" s="60"/>
    </row>
    <row r="202" spans="1:28" x14ac:dyDescent="0.45">
      <c r="A202" s="38" t="s">
        <v>401</v>
      </c>
      <c r="B202" s="11" t="str">
        <f t="shared" si="14"/>
        <v>ICD code</v>
      </c>
      <c r="D202" s="58"/>
      <c r="E202" s="59"/>
      <c r="F202" s="59"/>
      <c r="G202" s="59"/>
      <c r="H202" s="59"/>
      <c r="I202" s="105" t="s">
        <v>402</v>
      </c>
      <c r="J202" s="59"/>
      <c r="K202" s="59"/>
      <c r="L202" s="59"/>
      <c r="M202" s="59"/>
      <c r="N202" s="59"/>
      <c r="O202" s="59"/>
      <c r="P202" s="59"/>
      <c r="Q202" s="59"/>
      <c r="R202" s="59"/>
      <c r="S202" s="59"/>
      <c r="T202" s="59"/>
      <c r="U202" s="59"/>
      <c r="V202" s="59"/>
      <c r="W202" s="59"/>
      <c r="X202" s="59"/>
      <c r="Y202" s="59"/>
      <c r="Z202" s="59"/>
      <c r="AA202" s="59"/>
      <c r="AB202" s="60"/>
    </row>
    <row r="203" spans="1:28" x14ac:dyDescent="0.45">
      <c r="A203" s="38" t="s">
        <v>494</v>
      </c>
      <c r="B203" s="11" t="str">
        <f t="shared" si="14"/>
        <v>National field 1</v>
      </c>
      <c r="D203" s="58"/>
      <c r="E203" s="59"/>
      <c r="F203" s="59"/>
      <c r="G203" s="59"/>
      <c r="H203" s="59"/>
      <c r="I203" s="105" t="s">
        <v>556</v>
      </c>
      <c r="J203" s="59"/>
      <c r="K203" s="59"/>
      <c r="L203" s="59"/>
      <c r="M203" s="59"/>
      <c r="N203" s="59"/>
      <c r="O203" s="59"/>
      <c r="P203" s="59"/>
      <c r="Q203" s="59"/>
      <c r="R203" s="59"/>
      <c r="S203" s="59"/>
      <c r="T203" s="59"/>
      <c r="U203" s="59"/>
      <c r="V203" s="59"/>
      <c r="W203" s="59"/>
      <c r="X203" s="59"/>
      <c r="Y203" s="59"/>
      <c r="Z203" s="59"/>
      <c r="AA203" s="59"/>
      <c r="AB203" s="60"/>
    </row>
    <row r="204" spans="1:28" x14ac:dyDescent="0.45">
      <c r="A204" s="38" t="s">
        <v>495</v>
      </c>
      <c r="B204" s="11" t="str">
        <f t="shared" si="14"/>
        <v>National field 2</v>
      </c>
      <c r="D204" s="58"/>
      <c r="E204" s="59"/>
      <c r="F204" s="59"/>
      <c r="G204" s="59"/>
      <c r="H204" s="59"/>
      <c r="I204" s="105" t="s">
        <v>557</v>
      </c>
      <c r="J204" s="59"/>
      <c r="K204" s="59"/>
      <c r="L204" s="59"/>
      <c r="M204" s="59"/>
      <c r="N204" s="59"/>
      <c r="O204" s="59"/>
      <c r="P204" s="59"/>
      <c r="Q204" s="59"/>
      <c r="R204" s="59"/>
      <c r="S204" s="59"/>
      <c r="T204" s="59"/>
      <c r="U204" s="59"/>
      <c r="V204" s="59"/>
      <c r="W204" s="59"/>
      <c r="X204" s="59"/>
      <c r="Y204" s="59"/>
      <c r="Z204" s="59"/>
      <c r="AA204" s="59"/>
      <c r="AB204" s="60"/>
    </row>
    <row r="205" spans="1:28" x14ac:dyDescent="0.45">
      <c r="A205" s="38" t="s">
        <v>496</v>
      </c>
      <c r="B205" s="11" t="str">
        <f t="shared" si="14"/>
        <v>National field 3</v>
      </c>
      <c r="D205" s="58"/>
      <c r="E205" s="59"/>
      <c r="F205" s="59"/>
      <c r="G205" s="59"/>
      <c r="H205" s="59"/>
      <c r="I205" s="105" t="s">
        <v>558</v>
      </c>
      <c r="J205" s="59"/>
      <c r="K205" s="59"/>
      <c r="L205" s="59"/>
      <c r="M205" s="59"/>
      <c r="N205" s="59"/>
      <c r="O205" s="59"/>
      <c r="P205" s="59"/>
      <c r="Q205" s="59"/>
      <c r="R205" s="59"/>
      <c r="S205" s="59"/>
      <c r="T205" s="59"/>
      <c r="U205" s="59"/>
      <c r="V205" s="59"/>
      <c r="W205" s="59"/>
      <c r="X205" s="59"/>
      <c r="Y205" s="59"/>
      <c r="Z205" s="59"/>
      <c r="AA205" s="59"/>
      <c r="AB205" s="60"/>
    </row>
    <row r="206" spans="1:28" x14ac:dyDescent="0.45">
      <c r="A206" s="38" t="s">
        <v>503</v>
      </c>
      <c r="B206" s="11" t="str">
        <f t="shared" si="14"/>
        <v>National field 4</v>
      </c>
      <c r="D206" s="58"/>
      <c r="E206" s="59"/>
      <c r="F206" s="59"/>
      <c r="G206" s="59"/>
      <c r="H206" s="59"/>
      <c r="I206" s="105" t="s">
        <v>559</v>
      </c>
      <c r="J206" s="59"/>
      <c r="K206" s="59"/>
      <c r="L206" s="59"/>
      <c r="M206" s="59"/>
      <c r="N206" s="59"/>
      <c r="O206" s="59"/>
      <c r="P206" s="59"/>
      <c r="Q206" s="59"/>
      <c r="R206" s="59"/>
      <c r="S206" s="59"/>
      <c r="T206" s="59"/>
      <c r="U206" s="59"/>
      <c r="V206" s="59"/>
      <c r="W206" s="59"/>
      <c r="X206" s="59"/>
      <c r="Y206" s="59"/>
      <c r="Z206" s="59"/>
      <c r="AA206" s="59"/>
      <c r="AB206" s="60"/>
    </row>
    <row r="207" spans="1:28" x14ac:dyDescent="0.45">
      <c r="A207" s="38" t="s">
        <v>504</v>
      </c>
      <c r="B207" s="11" t="str">
        <f t="shared" si="14"/>
        <v>National field 5</v>
      </c>
      <c r="D207" s="58"/>
      <c r="E207" s="59"/>
      <c r="F207" s="59"/>
      <c r="G207" s="59"/>
      <c r="H207" s="59"/>
      <c r="I207" s="105" t="s">
        <v>560</v>
      </c>
      <c r="J207" s="59"/>
      <c r="K207" s="59"/>
      <c r="L207" s="59"/>
      <c r="M207" s="59"/>
      <c r="N207" s="59"/>
      <c r="O207" s="59"/>
      <c r="P207" s="59"/>
      <c r="Q207" s="59"/>
      <c r="R207" s="59"/>
      <c r="S207" s="59"/>
      <c r="T207" s="59"/>
      <c r="U207" s="59"/>
      <c r="V207" s="59"/>
      <c r="W207" s="59"/>
      <c r="X207" s="59"/>
      <c r="Y207" s="59"/>
      <c r="Z207" s="59"/>
      <c r="AA207" s="59"/>
      <c r="AB207" s="60"/>
    </row>
    <row r="208" spans="1:28" x14ac:dyDescent="0.45">
      <c r="A208" s="38" t="s">
        <v>493</v>
      </c>
      <c r="B208" s="11" t="str">
        <f t="shared" ref="B208" si="17">IF(TRIM(HLOOKUP(language_or_default,textTranslations,MATCH(A208,text,0),FALSE))="",HLOOKUP("en",textTranslations,MATCH(A208,text,0),FALSE),HLOOKUP(language_or_default,textTranslations,MATCH(A208,text,0),FALSE))</f>
        <v>Please fill-in 'Purpose of the project' sheet.</v>
      </c>
      <c r="D208" s="58"/>
      <c r="E208" s="59"/>
      <c r="F208" s="59"/>
      <c r="G208" s="59"/>
      <c r="H208" s="59"/>
      <c r="I208" s="105" t="s">
        <v>561</v>
      </c>
      <c r="J208" s="59"/>
      <c r="K208" s="59"/>
      <c r="L208" s="59"/>
      <c r="M208" s="59"/>
      <c r="N208" s="59"/>
      <c r="O208" s="59"/>
      <c r="P208" s="59"/>
      <c r="Q208" s="59"/>
      <c r="R208" s="59"/>
      <c r="S208" s="59"/>
      <c r="T208" s="59"/>
      <c r="U208" s="59"/>
      <c r="V208" s="59"/>
      <c r="W208" s="59"/>
      <c r="X208" s="59"/>
      <c r="Y208" s="59"/>
      <c r="Z208" s="59"/>
      <c r="AA208" s="59"/>
      <c r="AB208" s="60"/>
    </row>
    <row r="209" spans="1:28" x14ac:dyDescent="0.45">
      <c r="A209" s="38" t="s">
        <v>498</v>
      </c>
      <c r="B209" s="11" t="str">
        <f t="shared" si="14"/>
        <v>(in months)</v>
      </c>
      <c r="D209" s="58"/>
      <c r="E209" s="59"/>
      <c r="F209" s="59"/>
      <c r="G209" s="59"/>
      <c r="H209" s="59"/>
      <c r="I209" s="105" t="s">
        <v>551</v>
      </c>
      <c r="J209" s="59"/>
      <c r="K209" s="59"/>
      <c r="L209" s="59"/>
      <c r="M209" s="59"/>
      <c r="N209" s="59"/>
      <c r="O209" s="59"/>
      <c r="P209" s="59"/>
      <c r="Q209" s="59"/>
      <c r="R209" s="59"/>
      <c r="S209" s="59"/>
      <c r="T209" s="59"/>
      <c r="U209" s="59"/>
      <c r="V209" s="59"/>
      <c r="W209" s="59"/>
      <c r="X209" s="59"/>
      <c r="Y209" s="59"/>
      <c r="Z209" s="59"/>
      <c r="AA209" s="59"/>
      <c r="AB209" s="60"/>
    </row>
    <row r="210" spans="1:28" x14ac:dyDescent="0.45">
      <c r="A210" s="38" t="s">
        <v>501</v>
      </c>
      <c r="B210" s="11" t="str">
        <f t="shared" si="14"/>
        <v>May consist of more than one word.</v>
      </c>
      <c r="D210" s="58"/>
      <c r="E210" s="59"/>
      <c r="F210" s="59"/>
      <c r="G210" s="59"/>
      <c r="H210" s="59"/>
      <c r="I210" s="105" t="s">
        <v>502</v>
      </c>
      <c r="J210" s="59"/>
      <c r="K210" s="59"/>
      <c r="L210" s="59"/>
      <c r="M210" s="59"/>
      <c r="N210" s="59"/>
      <c r="O210" s="59"/>
      <c r="P210" s="59"/>
      <c r="Q210" s="59"/>
      <c r="R210" s="59"/>
      <c r="S210" s="59"/>
      <c r="T210" s="59"/>
      <c r="U210" s="59"/>
      <c r="V210" s="59"/>
      <c r="W210" s="59"/>
      <c r="X210" s="59"/>
      <c r="Y210" s="59"/>
      <c r="Z210" s="59"/>
      <c r="AA210" s="59"/>
      <c r="AB210" s="60"/>
    </row>
    <row r="211" spans="1:28" x14ac:dyDescent="0.45">
      <c r="A211" s="38" t="s">
        <v>505</v>
      </c>
      <c r="B211" s="11" t="str">
        <f t="shared" si="14"/>
        <v>Please fill-in all categories with whole numbers (0 or higher)!</v>
      </c>
      <c r="D211" s="58"/>
      <c r="E211" s="59"/>
      <c r="F211" s="59"/>
      <c r="G211" s="59"/>
      <c r="H211" s="59"/>
      <c r="I211" s="105" t="s">
        <v>506</v>
      </c>
      <c r="J211" s="59"/>
      <c r="K211" s="59"/>
      <c r="L211" s="59"/>
      <c r="M211" s="59"/>
      <c r="N211" s="59"/>
      <c r="O211" s="59"/>
      <c r="P211" s="59"/>
      <c r="Q211" s="59"/>
      <c r="R211" s="59"/>
      <c r="S211" s="59"/>
      <c r="T211" s="59"/>
      <c r="U211" s="59"/>
      <c r="V211" s="59"/>
      <c r="W211" s="59"/>
      <c r="X211" s="59"/>
      <c r="Y211" s="59"/>
      <c r="Z211" s="59"/>
      <c r="AA211" s="59"/>
      <c r="AB211" s="60"/>
    </row>
    <row r="212" spans="1:28" x14ac:dyDescent="0.45">
      <c r="A212" s="38" t="s">
        <v>513</v>
      </c>
      <c r="B212" s="11" t="str">
        <f t="shared" si="14"/>
        <v>Indicate if project is falling inside the scope of the Directive or not.</v>
      </c>
      <c r="D212" s="58"/>
      <c r="E212" s="59"/>
      <c r="F212" s="59"/>
      <c r="G212" s="59"/>
      <c r="H212" s="59"/>
      <c r="I212" s="105" t="s">
        <v>537</v>
      </c>
      <c r="J212" s="59"/>
      <c r="K212" s="59"/>
      <c r="L212" s="59"/>
      <c r="M212" s="59"/>
      <c r="N212" s="59"/>
      <c r="O212" s="59"/>
      <c r="P212" s="59"/>
      <c r="Q212" s="59"/>
      <c r="R212" s="59"/>
      <c r="S212" s="59"/>
      <c r="T212" s="59"/>
      <c r="U212" s="59"/>
      <c r="V212" s="59"/>
      <c r="W212" s="59"/>
      <c r="X212" s="59"/>
      <c r="Y212" s="59"/>
      <c r="Z212" s="59"/>
      <c r="AA212" s="59"/>
      <c r="AB212" s="60"/>
    </row>
    <row r="213" spans="1:28" x14ac:dyDescent="0.45">
      <c r="A213" s="38" t="s">
        <v>530</v>
      </c>
      <c r="B213" s="11" t="str">
        <f t="shared" ref="B213:B224" si="18">IF(TRIM(HLOOKUP(language_or_default,textTranslations,MATCH(A213,text,0),FALSE))="",HLOOKUP("en",textTranslations,MATCH(A213,text,0),FALSE),HLOOKUP(language_or_default,textTranslations,MATCH(A213,text,0),FALSE))</f>
        <v>International Classification of Diseases (ICD) code.</v>
      </c>
      <c r="D213" s="58"/>
      <c r="E213" s="59"/>
      <c r="F213" s="59"/>
      <c r="G213" s="59"/>
      <c r="H213" s="59"/>
      <c r="I213" s="105" t="s">
        <v>564</v>
      </c>
      <c r="J213" s="59"/>
      <c r="K213" s="59"/>
      <c r="L213" s="59"/>
      <c r="M213" s="59"/>
      <c r="N213" s="59"/>
      <c r="O213" s="59"/>
      <c r="P213" s="59"/>
      <c r="Q213" s="59"/>
      <c r="R213" s="59"/>
      <c r="S213" s="59"/>
      <c r="T213" s="59"/>
      <c r="U213" s="59"/>
      <c r="V213" s="59"/>
      <c r="W213" s="59"/>
      <c r="X213" s="59"/>
      <c r="Y213" s="59"/>
      <c r="Z213" s="59"/>
      <c r="AA213" s="59"/>
      <c r="AB213" s="60"/>
    </row>
    <row r="214" spans="1:28" x14ac:dyDescent="0.45">
      <c r="A214" s="38" t="s">
        <v>529</v>
      </c>
      <c r="B214" s="11" t="str">
        <f t="shared" si="18"/>
        <v>Up to a precision of a 4 character code.</v>
      </c>
      <c r="D214" s="58"/>
      <c r="E214" s="59"/>
      <c r="F214" s="59"/>
      <c r="G214" s="59"/>
      <c r="H214" s="59"/>
      <c r="I214" s="105" t="s">
        <v>531</v>
      </c>
      <c r="J214" s="59"/>
      <c r="K214" s="59"/>
      <c r="L214" s="59"/>
      <c r="M214" s="59"/>
      <c r="N214" s="59"/>
      <c r="O214" s="59"/>
      <c r="P214" s="59"/>
      <c r="Q214" s="59"/>
      <c r="R214" s="59"/>
      <c r="S214" s="59"/>
      <c r="T214" s="59"/>
      <c r="U214" s="59"/>
      <c r="V214" s="59"/>
      <c r="W214" s="59"/>
      <c r="X214" s="59"/>
      <c r="Y214" s="59"/>
      <c r="Z214" s="59"/>
      <c r="AA214" s="59"/>
      <c r="AB214" s="60"/>
    </row>
    <row r="215" spans="1:28" x14ac:dyDescent="0.45">
      <c r="A215" s="38" t="s">
        <v>533</v>
      </c>
      <c r="B215" s="11" t="str">
        <f t="shared" si="18"/>
        <v>Link to the previous NTS version outside the EC system</v>
      </c>
      <c r="D215" s="58"/>
      <c r="E215" s="59"/>
      <c r="F215" s="59"/>
      <c r="G215" s="59"/>
      <c r="H215" s="59"/>
      <c r="I215" s="105" t="s">
        <v>535</v>
      </c>
      <c r="J215" s="59"/>
      <c r="K215" s="59"/>
      <c r="L215" s="59"/>
      <c r="M215" s="59"/>
      <c r="N215" s="59"/>
      <c r="O215" s="59"/>
      <c r="P215" s="59"/>
      <c r="Q215" s="59"/>
      <c r="R215" s="59"/>
      <c r="S215" s="59"/>
      <c r="T215" s="59"/>
      <c r="U215" s="59"/>
      <c r="V215" s="59"/>
      <c r="W215" s="59"/>
      <c r="X215" s="59"/>
      <c r="Y215" s="59"/>
      <c r="Z215" s="59"/>
      <c r="AA215" s="59"/>
      <c r="AB215" s="60"/>
    </row>
    <row r="216" spans="1:28" x14ac:dyDescent="0.45">
      <c r="A216" s="38" t="s">
        <v>534</v>
      </c>
      <c r="B216" s="11" t="str">
        <f t="shared" ref="B216:B218" si="19">IF(TRIM(HLOOKUP(language_or_default,textTranslations,MATCH(A216,text,0),FALSE))="",HLOOKUP("en",textTranslations,MATCH(A216,text,0),FALSE),HLOOKUP(language_or_default,textTranslations,MATCH(A216,text,0),FALSE))</f>
        <v>To be used in transition period where the previous version of the NTS might not exist in the EC system.</v>
      </c>
      <c r="D216" s="58"/>
      <c r="E216" s="59"/>
      <c r="F216" s="59"/>
      <c r="G216" s="59"/>
      <c r="H216" s="59"/>
      <c r="I216" s="105" t="s">
        <v>536</v>
      </c>
      <c r="J216" s="59"/>
      <c r="K216" s="59"/>
      <c r="L216" s="59"/>
      <c r="M216" s="59"/>
      <c r="N216" s="59"/>
      <c r="O216" s="59"/>
      <c r="P216" s="59"/>
      <c r="Q216" s="59"/>
      <c r="R216" s="59"/>
      <c r="S216" s="59"/>
      <c r="T216" s="59"/>
      <c r="U216" s="59"/>
      <c r="V216" s="59"/>
      <c r="W216" s="59"/>
      <c r="X216" s="59"/>
      <c r="Y216" s="59"/>
      <c r="Z216" s="59"/>
      <c r="AA216" s="59"/>
      <c r="AB216" s="60"/>
    </row>
    <row r="217" spans="1:28" x14ac:dyDescent="0.45">
      <c r="A217" s="38" t="s">
        <v>539</v>
      </c>
      <c r="B217" s="11" t="str">
        <f t="shared" si="19"/>
        <v>NTS identifier</v>
      </c>
      <c r="D217" s="58"/>
      <c r="E217" s="59"/>
      <c r="F217" s="59"/>
      <c r="G217" s="59"/>
      <c r="H217" s="59"/>
      <c r="I217" s="105" t="s">
        <v>540</v>
      </c>
      <c r="J217" s="59"/>
      <c r="K217" s="59"/>
      <c r="L217" s="59"/>
      <c r="M217" s="59"/>
      <c r="N217" s="59"/>
      <c r="O217" s="59"/>
      <c r="P217" s="59"/>
      <c r="Q217" s="59"/>
      <c r="R217" s="59"/>
      <c r="S217" s="59"/>
      <c r="T217" s="59"/>
      <c r="U217" s="59"/>
      <c r="V217" s="59"/>
      <c r="W217" s="59"/>
      <c r="X217" s="59"/>
      <c r="Y217" s="59"/>
      <c r="Z217" s="59"/>
      <c r="AA217" s="59"/>
      <c r="AB217" s="60"/>
    </row>
    <row r="218" spans="1:28" x14ac:dyDescent="0.45">
      <c r="A218" s="38" t="s">
        <v>541</v>
      </c>
      <c r="B218" s="11" t="str">
        <f t="shared" si="19"/>
        <v>Unique NTS identifier assigned by the central EC system.</v>
      </c>
      <c r="D218" s="58"/>
      <c r="E218" s="59"/>
      <c r="F218" s="59"/>
      <c r="G218" s="59"/>
      <c r="H218" s="59"/>
      <c r="I218" s="105" t="s">
        <v>552</v>
      </c>
      <c r="J218" s="59"/>
      <c r="K218" s="59"/>
      <c r="L218" s="59"/>
      <c r="M218" s="59"/>
      <c r="N218" s="59"/>
      <c r="O218" s="59"/>
      <c r="P218" s="59"/>
      <c r="Q218" s="59"/>
      <c r="R218" s="59"/>
      <c r="S218" s="59"/>
      <c r="T218" s="59"/>
      <c r="U218" s="59"/>
      <c r="V218" s="59"/>
      <c r="W218" s="59"/>
      <c r="X218" s="59"/>
      <c r="Y218" s="59"/>
      <c r="Z218" s="59"/>
      <c r="AA218" s="59"/>
      <c r="AB218" s="60"/>
    </row>
    <row r="219" spans="1:28" x14ac:dyDescent="0.45">
      <c r="A219" s="38" t="s">
        <v>542</v>
      </c>
      <c r="B219" s="11" t="str">
        <f t="shared" si="18"/>
        <v>To be filled-in only when updating NTS already stored in the EC system.</v>
      </c>
      <c r="D219" s="58"/>
      <c r="E219" s="59"/>
      <c r="F219" s="59"/>
      <c r="G219" s="59"/>
      <c r="H219" s="59"/>
      <c r="I219" s="105" t="s">
        <v>543</v>
      </c>
      <c r="J219" s="59"/>
      <c r="K219" s="59"/>
      <c r="L219" s="59"/>
      <c r="M219" s="59"/>
      <c r="N219" s="59"/>
      <c r="O219" s="59"/>
      <c r="P219" s="59"/>
      <c r="Q219" s="59"/>
      <c r="R219" s="59"/>
      <c r="S219" s="59"/>
      <c r="T219" s="59"/>
      <c r="U219" s="59"/>
      <c r="V219" s="59"/>
      <c r="W219" s="59"/>
      <c r="X219" s="59"/>
      <c r="Y219" s="59"/>
      <c r="Z219" s="59"/>
      <c r="AA219" s="59"/>
      <c r="AB219" s="60"/>
    </row>
    <row r="220" spans="1:28" x14ac:dyDescent="0.45">
      <c r="A220" s="38" t="s">
        <v>547</v>
      </c>
      <c r="B220" s="11" t="str">
        <f t="shared" si="18"/>
        <v>MS custom severity</v>
      </c>
      <c r="D220" s="58"/>
      <c r="E220" s="59"/>
      <c r="F220" s="59"/>
      <c r="G220" s="59"/>
      <c r="H220" s="59"/>
      <c r="I220" s="105" t="s">
        <v>548</v>
      </c>
      <c r="J220" s="59"/>
      <c r="K220" s="59"/>
      <c r="L220" s="59"/>
      <c r="M220" s="59"/>
      <c r="N220" s="59"/>
      <c r="O220" s="59"/>
      <c r="P220" s="59"/>
      <c r="Q220" s="59"/>
      <c r="R220" s="59"/>
      <c r="S220" s="59"/>
      <c r="T220" s="59"/>
      <c r="U220" s="59"/>
      <c r="V220" s="59"/>
      <c r="W220" s="59"/>
      <c r="X220" s="59"/>
      <c r="Y220" s="59"/>
      <c r="Z220" s="59"/>
      <c r="AA220" s="59"/>
      <c r="AB220" s="60"/>
    </row>
    <row r="221" spans="1:28" x14ac:dyDescent="0.45">
      <c r="A221" s="38" t="s">
        <v>553</v>
      </c>
      <c r="B221" s="11" t="str">
        <f t="shared" si="18"/>
        <v>Field will not be published.</v>
      </c>
      <c r="D221" s="58"/>
      <c r="E221" s="59"/>
      <c r="F221" s="59"/>
      <c r="G221" s="59"/>
      <c r="H221" s="59"/>
      <c r="I221" s="105" t="s">
        <v>554</v>
      </c>
      <c r="J221" s="59"/>
      <c r="K221" s="59"/>
      <c r="L221" s="59"/>
      <c r="M221" s="59"/>
      <c r="N221" s="59"/>
      <c r="O221" s="59"/>
      <c r="P221" s="59"/>
      <c r="Q221" s="59"/>
      <c r="R221" s="59"/>
      <c r="S221" s="59"/>
      <c r="T221" s="59"/>
      <c r="U221" s="59"/>
      <c r="V221" s="59"/>
      <c r="W221" s="59"/>
      <c r="X221" s="59"/>
      <c r="Y221" s="59"/>
      <c r="Z221" s="59"/>
      <c r="AA221" s="59"/>
      <c r="AB221" s="60"/>
    </row>
    <row r="222" spans="1:28" x14ac:dyDescent="0.45">
      <c r="B222" s="11" t="e">
        <f t="shared" si="18"/>
        <v>#N/A</v>
      </c>
      <c r="D222" s="58"/>
      <c r="E222" s="59"/>
      <c r="F222" s="59"/>
      <c r="G222" s="59"/>
      <c r="H222" s="59"/>
      <c r="I222" s="105"/>
      <c r="J222" s="59"/>
      <c r="K222" s="59"/>
      <c r="L222" s="59"/>
      <c r="M222" s="59"/>
      <c r="N222" s="59"/>
      <c r="O222" s="59"/>
      <c r="P222" s="59"/>
      <c r="Q222" s="59"/>
      <c r="R222" s="59"/>
      <c r="S222" s="59"/>
      <c r="T222" s="59"/>
      <c r="U222" s="59"/>
      <c r="V222" s="59"/>
      <c r="W222" s="59"/>
      <c r="X222" s="59"/>
      <c r="Y222" s="59"/>
      <c r="Z222" s="59"/>
      <c r="AA222" s="59"/>
      <c r="AB222" s="60"/>
    </row>
    <row r="223" spans="1:28" x14ac:dyDescent="0.45">
      <c r="B223" s="11" t="e">
        <f t="shared" si="18"/>
        <v>#N/A</v>
      </c>
      <c r="D223" s="58"/>
      <c r="E223" s="59"/>
      <c r="F223" s="59"/>
      <c r="G223" s="59"/>
      <c r="H223" s="59"/>
      <c r="I223" s="105"/>
      <c r="J223" s="59"/>
      <c r="K223" s="59"/>
      <c r="L223" s="59"/>
      <c r="M223" s="59"/>
      <c r="N223" s="59"/>
      <c r="O223" s="59"/>
      <c r="P223" s="59"/>
      <c r="Q223" s="59"/>
      <c r="R223" s="59"/>
      <c r="S223" s="59"/>
      <c r="T223" s="59"/>
      <c r="U223" s="59"/>
      <c r="V223" s="59"/>
      <c r="W223" s="59"/>
      <c r="X223" s="59"/>
      <c r="Y223" s="59"/>
      <c r="Z223" s="59"/>
      <c r="AA223" s="59"/>
      <c r="AB223" s="60"/>
    </row>
    <row r="224" spans="1:28" x14ac:dyDescent="0.45">
      <c r="B224" s="11" t="e">
        <f t="shared" si="18"/>
        <v>#N/A</v>
      </c>
      <c r="D224" s="58"/>
      <c r="E224" s="59"/>
      <c r="F224" s="59"/>
      <c r="G224" s="59"/>
      <c r="H224" s="59"/>
      <c r="I224" s="105"/>
      <c r="J224" s="59"/>
      <c r="K224" s="59"/>
      <c r="L224" s="59"/>
      <c r="M224" s="59"/>
      <c r="N224" s="59"/>
      <c r="O224" s="59"/>
      <c r="P224" s="59"/>
      <c r="Q224" s="59"/>
      <c r="R224" s="59"/>
      <c r="S224" s="59"/>
      <c r="T224" s="59"/>
      <c r="U224" s="59"/>
      <c r="V224" s="59"/>
      <c r="W224" s="59"/>
      <c r="X224" s="59"/>
      <c r="Y224" s="59"/>
      <c r="Z224" s="59"/>
      <c r="AA224" s="59"/>
      <c r="AB224" s="60"/>
    </row>
    <row r="225" spans="2:28" ht="14.65" thickBot="1" x14ac:dyDescent="0.5">
      <c r="B225" s="11" t="e">
        <f t="shared" si="14"/>
        <v>#N/A</v>
      </c>
      <c r="D225" s="61"/>
      <c r="E225" s="62"/>
      <c r="F225" s="62"/>
      <c r="G225" s="62"/>
      <c r="H225" s="62"/>
      <c r="I225" s="108"/>
      <c r="J225" s="62"/>
      <c r="K225" s="62"/>
      <c r="L225" s="62"/>
      <c r="M225" s="62"/>
      <c r="N225" s="62"/>
      <c r="O225" s="62"/>
      <c r="P225" s="62"/>
      <c r="Q225" s="62"/>
      <c r="R225" s="62"/>
      <c r="S225" s="62"/>
      <c r="T225" s="62"/>
      <c r="U225" s="62"/>
      <c r="V225" s="62"/>
      <c r="W225" s="62"/>
      <c r="X225" s="62"/>
      <c r="Y225" s="62"/>
      <c r="Z225" s="62"/>
      <c r="AA225" s="62"/>
      <c r="AB225" s="63"/>
    </row>
  </sheetData>
  <sheetProtection sheet="1" selectLockedCells="1"/>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8"/>
  <sheetViews>
    <sheetView workbookViewId="0">
      <selection activeCell="B15" sqref="B15"/>
    </sheetView>
  </sheetViews>
  <sheetFormatPr defaultRowHeight="14.25" x14ac:dyDescent="0.45"/>
  <cols>
    <col min="1" max="1" width="22.796875" style="42" customWidth="1"/>
    <col min="2" max="2" width="26.265625" style="42" customWidth="1"/>
    <col min="3" max="3" width="35.19921875" style="42" customWidth="1"/>
    <col min="4" max="4" width="24.796875" customWidth="1"/>
  </cols>
  <sheetData>
    <row r="1" spans="1:31" ht="14.65" thickBot="1" x14ac:dyDescent="0.5"/>
    <row r="2" spans="1:31" ht="14.65" thickBot="1" x14ac:dyDescent="0.5">
      <c r="A2" s="43" t="s">
        <v>12</v>
      </c>
      <c r="B2" s="21" t="str">
        <f>IF(language="","en",language)</f>
        <v>en</v>
      </c>
    </row>
    <row r="3" spans="1:31" ht="14.65" thickBot="1" x14ac:dyDescent="0.5">
      <c r="A3" s="43" t="s">
        <v>15</v>
      </c>
      <c r="B3" s="18" t="str">
        <f>yes</f>
        <v>yes [1]</v>
      </c>
      <c r="C3" s="20" t="str">
        <f>no</f>
        <v>no [0]</v>
      </c>
    </row>
    <row r="4" spans="1:31" ht="14.65" thickBot="1" x14ac:dyDescent="0.5">
      <c r="A4" s="43" t="s">
        <v>14</v>
      </c>
      <c r="B4" s="18" t="str">
        <f>yes</f>
        <v>yes [1]</v>
      </c>
      <c r="C4" s="19" t="s">
        <v>6</v>
      </c>
    </row>
    <row r="5" spans="1:31" ht="14.65" thickBot="1" x14ac:dyDescent="0.5">
      <c r="A5" s="75" t="s">
        <v>391</v>
      </c>
      <c r="B5" s="21">
        <v>1</v>
      </c>
      <c r="C5" s="22"/>
    </row>
    <row r="6" spans="1:31" ht="14.65" thickBot="1" x14ac:dyDescent="0.5">
      <c r="A6" s="43" t="s">
        <v>174</v>
      </c>
      <c r="B6" s="21" t="str">
        <f>IF(NTS!B2="","",IF(VLOOKUP(NTS!B2,A11:B38,2)="yes","*",""))</f>
        <v/>
      </c>
      <c r="C6" s="22"/>
    </row>
    <row r="7" spans="1:31" ht="14.65" thickBot="1" x14ac:dyDescent="0.5">
      <c r="A7" s="75" t="s">
        <v>393</v>
      </c>
      <c r="B7" s="21" t="str">
        <f>IF(NTS!B2="","",IF(VLOOKUP(NTS!B2,A11:C38,3)="yes","*",""))</f>
        <v/>
      </c>
      <c r="C7" s="22"/>
    </row>
    <row r="8" spans="1:31" ht="14.65" thickBot="1" x14ac:dyDescent="0.5">
      <c r="A8" s="75" t="s">
        <v>398</v>
      </c>
      <c r="B8" s="21" t="str">
        <f>IF(NTS!B2="","",IF(VLOOKUP(NTS!B2,A11:D38,4)="yes","*",""))</f>
        <v/>
      </c>
      <c r="C8" s="22"/>
    </row>
    <row r="9" spans="1:31" x14ac:dyDescent="0.45">
      <c r="A9" s="40"/>
      <c r="B9" s="13"/>
      <c r="C9" s="22"/>
    </row>
    <row r="10" spans="1:31" ht="14.65" thickBot="1" x14ac:dyDescent="0.5">
      <c r="A10" s="43" t="s">
        <v>172</v>
      </c>
      <c r="B10" s="13" t="s">
        <v>173</v>
      </c>
      <c r="C10" s="22" t="s">
        <v>392</v>
      </c>
      <c r="D10" t="s">
        <v>397</v>
      </c>
    </row>
    <row r="11" spans="1:31" x14ac:dyDescent="0.45">
      <c r="A11" s="1" t="s">
        <v>35</v>
      </c>
      <c r="B11" s="76" t="s">
        <v>4</v>
      </c>
      <c r="C11" s="80"/>
      <c r="D11" s="77"/>
    </row>
    <row r="12" spans="1:31" x14ac:dyDescent="0.45">
      <c r="A12" s="1" t="s">
        <v>36</v>
      </c>
      <c r="B12" s="78" t="s">
        <v>4</v>
      </c>
      <c r="C12" s="88"/>
      <c r="D12" s="60"/>
    </row>
    <row r="13" spans="1:31" x14ac:dyDescent="0.45">
      <c r="A13" s="1" t="s">
        <v>37</v>
      </c>
      <c r="B13" s="78" t="s">
        <v>4</v>
      </c>
      <c r="C13" s="88"/>
      <c r="D13" s="60"/>
    </row>
    <row r="14" spans="1:31" x14ac:dyDescent="0.45">
      <c r="A14" s="1" t="s">
        <v>38</v>
      </c>
      <c r="B14" s="78" t="s">
        <v>4</v>
      </c>
      <c r="C14" s="88"/>
      <c r="D14" s="60"/>
    </row>
    <row r="15" spans="1:31" x14ac:dyDescent="0.45">
      <c r="A15" s="1" t="s">
        <v>39</v>
      </c>
      <c r="B15" s="78"/>
      <c r="C15" s="89"/>
      <c r="D15" s="60"/>
      <c r="E15" s="1"/>
      <c r="F15" s="1"/>
      <c r="G15" s="1"/>
      <c r="H15" s="1"/>
      <c r="I15" s="1"/>
      <c r="J15" s="1"/>
      <c r="K15" s="1"/>
      <c r="L15" s="1"/>
      <c r="M15" s="1"/>
      <c r="N15" s="1"/>
      <c r="O15" s="1"/>
      <c r="P15" s="1"/>
      <c r="Q15" s="1"/>
      <c r="R15" s="1"/>
      <c r="S15" s="1"/>
      <c r="T15" s="1"/>
      <c r="U15" s="1"/>
      <c r="V15" s="1"/>
      <c r="W15" s="1"/>
      <c r="X15" s="1"/>
      <c r="Y15" s="1"/>
      <c r="Z15" s="1"/>
      <c r="AA15" s="1"/>
      <c r="AB15" s="1"/>
      <c r="AC15" s="1"/>
      <c r="AD15" s="1"/>
      <c r="AE15" s="1"/>
    </row>
    <row r="16" spans="1:31" x14ac:dyDescent="0.45">
      <c r="A16" s="1" t="s">
        <v>40</v>
      </c>
      <c r="B16" s="78"/>
      <c r="C16" s="89"/>
      <c r="D16" s="60"/>
    </row>
    <row r="17" spans="1:4" x14ac:dyDescent="0.45">
      <c r="A17" s="1" t="s">
        <v>41</v>
      </c>
      <c r="B17" s="78" t="s">
        <v>4</v>
      </c>
      <c r="C17" s="89"/>
      <c r="D17" s="60"/>
    </row>
    <row r="18" spans="1:4" x14ac:dyDescent="0.45">
      <c r="A18" s="1" t="s">
        <v>42</v>
      </c>
      <c r="B18" s="78"/>
      <c r="C18" s="89"/>
      <c r="D18" s="60"/>
    </row>
    <row r="19" spans="1:4" x14ac:dyDescent="0.45">
      <c r="A19" s="1" t="s">
        <v>43</v>
      </c>
      <c r="B19" s="78" t="s">
        <v>4</v>
      </c>
      <c r="C19" s="89"/>
      <c r="D19" s="60"/>
    </row>
    <row r="20" spans="1:4" x14ac:dyDescent="0.45">
      <c r="A20" s="1" t="s">
        <v>44</v>
      </c>
      <c r="B20" s="78"/>
      <c r="C20" s="89"/>
      <c r="D20" s="60"/>
    </row>
    <row r="21" spans="1:4" x14ac:dyDescent="0.45">
      <c r="A21" s="1" t="s">
        <v>45</v>
      </c>
      <c r="B21" s="78" t="s">
        <v>4</v>
      </c>
      <c r="C21" s="89"/>
      <c r="D21" s="60"/>
    </row>
    <row r="22" spans="1:4" x14ac:dyDescent="0.45">
      <c r="A22" s="1" t="s">
        <v>46</v>
      </c>
      <c r="B22" s="78"/>
      <c r="C22" s="89"/>
      <c r="D22" s="60"/>
    </row>
    <row r="23" spans="1:4" x14ac:dyDescent="0.45">
      <c r="A23" s="1" t="s">
        <v>47</v>
      </c>
      <c r="B23" s="78" t="s">
        <v>4</v>
      </c>
      <c r="C23" s="89"/>
      <c r="D23" s="60"/>
    </row>
    <row r="24" spans="1:4" x14ac:dyDescent="0.45">
      <c r="A24" s="1" t="s">
        <v>48</v>
      </c>
      <c r="B24" s="78"/>
      <c r="C24" s="89"/>
      <c r="D24" s="60"/>
    </row>
    <row r="25" spans="1:4" x14ac:dyDescent="0.45">
      <c r="A25" s="1" t="s">
        <v>49</v>
      </c>
      <c r="B25" s="78"/>
      <c r="C25" s="89"/>
      <c r="D25" s="60"/>
    </row>
    <row r="26" spans="1:4" x14ac:dyDescent="0.45">
      <c r="A26" s="1" t="s">
        <v>50</v>
      </c>
      <c r="B26" s="78"/>
      <c r="C26" s="89"/>
      <c r="D26" s="60"/>
    </row>
    <row r="27" spans="1:4" x14ac:dyDescent="0.45">
      <c r="A27" s="1" t="s">
        <v>51</v>
      </c>
      <c r="B27" s="78" t="s">
        <v>4</v>
      </c>
      <c r="C27" s="89"/>
      <c r="D27" s="60"/>
    </row>
    <row r="28" spans="1:4" x14ac:dyDescent="0.45">
      <c r="A28" s="1" t="s">
        <v>52</v>
      </c>
      <c r="B28" s="78"/>
      <c r="C28" s="89"/>
      <c r="D28" s="60"/>
    </row>
    <row r="29" spans="1:4" x14ac:dyDescent="0.45">
      <c r="A29" s="1" t="s">
        <v>53</v>
      </c>
      <c r="B29" s="78"/>
      <c r="C29" s="89"/>
      <c r="D29" s="60"/>
    </row>
    <row r="30" spans="1:4" x14ac:dyDescent="0.45">
      <c r="A30" s="1" t="s">
        <v>54</v>
      </c>
      <c r="B30" s="78" t="s">
        <v>4</v>
      </c>
      <c r="C30" s="89"/>
      <c r="D30" s="60"/>
    </row>
    <row r="31" spans="1:4" x14ac:dyDescent="0.45">
      <c r="A31" s="1" t="s">
        <v>55</v>
      </c>
      <c r="B31" s="78" t="s">
        <v>4</v>
      </c>
      <c r="C31" s="89"/>
      <c r="D31" s="60"/>
    </row>
    <row r="32" spans="1:4" x14ac:dyDescent="0.45">
      <c r="A32" s="1" t="s">
        <v>56</v>
      </c>
      <c r="B32" s="78" t="s">
        <v>4</v>
      </c>
      <c r="C32" s="89"/>
      <c r="D32" s="60"/>
    </row>
    <row r="33" spans="1:4" x14ac:dyDescent="0.45">
      <c r="A33" s="1" t="s">
        <v>57</v>
      </c>
      <c r="B33" s="78" t="s">
        <v>4</v>
      </c>
      <c r="C33" s="89"/>
      <c r="D33" s="60"/>
    </row>
    <row r="34" spans="1:4" x14ac:dyDescent="0.45">
      <c r="A34" s="1" t="s">
        <v>58</v>
      </c>
      <c r="B34" s="78" t="s">
        <v>4</v>
      </c>
      <c r="C34" s="89"/>
      <c r="D34" s="60"/>
    </row>
    <row r="35" spans="1:4" x14ac:dyDescent="0.45">
      <c r="A35" s="1" t="s">
        <v>59</v>
      </c>
      <c r="B35" s="78" t="s">
        <v>4</v>
      </c>
      <c r="C35" s="89"/>
      <c r="D35" s="60"/>
    </row>
    <row r="36" spans="1:4" x14ac:dyDescent="0.45">
      <c r="A36" s="1" t="s">
        <v>60</v>
      </c>
      <c r="B36" s="78" t="s">
        <v>4</v>
      </c>
      <c r="C36" s="89"/>
      <c r="D36" s="60"/>
    </row>
    <row r="37" spans="1:4" x14ac:dyDescent="0.45">
      <c r="A37" s="1" t="s">
        <v>61</v>
      </c>
      <c r="B37" s="78" t="s">
        <v>4</v>
      </c>
      <c r="C37" s="89"/>
      <c r="D37" s="60"/>
    </row>
    <row r="38" spans="1:4" ht="14.65" thickBot="1" x14ac:dyDescent="0.5">
      <c r="A38" s="1" t="s">
        <v>62</v>
      </c>
      <c r="B38" s="79"/>
      <c r="C38" s="90"/>
      <c r="D38" s="63"/>
    </row>
  </sheetData>
  <sheetProtection sheet="1" selectLockedCells="1"/>
  <dataValidations count="1">
    <dataValidation type="list" allowBlank="1" showInputMessage="1" showErrorMessage="1" sqref="B11:D38">
      <formula1>"yes"</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140</vt:i4>
      </vt:variant>
    </vt:vector>
  </HeadingPairs>
  <TitlesOfParts>
    <vt:vector size="146" baseType="lpstr">
      <vt:lpstr>NTS</vt:lpstr>
      <vt:lpstr>Purpose of the project</vt:lpstr>
      <vt:lpstr>Expected harms</vt:lpstr>
      <vt:lpstr>Fate of animals kept alive</vt:lpstr>
      <vt:lpstr>Translations</vt:lpstr>
      <vt:lpstr>Configuration</vt:lpstr>
      <vt:lpstr>additional_fields_tinstr</vt:lpstr>
      <vt:lpstr>additional_fields_title</vt:lpstr>
      <vt:lpstr>application_of_the_three_rs_label</vt:lpstr>
      <vt:lpstr>at_least_one_keyword_mssg</vt:lpstr>
      <vt:lpstr>at_least_one_purpose_mssg</vt:lpstr>
      <vt:lpstr>at_least_one_reason_mssg</vt:lpstr>
      <vt:lpstr>at_least_one_row_mssg</vt:lpstr>
      <vt:lpstr>basicResearch_label</vt:lpstr>
      <vt:lpstr>choice_mandatory</vt:lpstr>
      <vt:lpstr>choice_optional</vt:lpstr>
      <vt:lpstr>choiceCode</vt:lpstr>
      <vt:lpstr>choiceTranslated</vt:lpstr>
      <vt:lpstr>choiceTranslations</vt:lpstr>
      <vt:lpstr>compulsory_field_for_some_tinstr</vt:lpstr>
      <vt:lpstr>compulsory_field_tinstr</vt:lpstr>
      <vt:lpstr>countries</vt:lpstr>
      <vt:lpstr>country_label</vt:lpstr>
      <vt:lpstr>custom_severity_label</vt:lpstr>
      <vt:lpstr>date_format_tinstr</vt:lpstr>
      <vt:lpstr>duration_unit_label</vt:lpstr>
      <vt:lpstr>education_label</vt:lpstr>
      <vt:lpstr>efficacyTesting_label</vt:lpstr>
      <vt:lpstr>euSubmission_instr</vt:lpstr>
      <vt:lpstr>euSubmission_label</vt:lpstr>
      <vt:lpstr>expectedHarms_instr</vt:lpstr>
      <vt:lpstr>expectedHarms_label</vt:lpstr>
      <vt:lpstr>expectedHarms_tinstr</vt:lpstr>
      <vt:lpstr>expectedImpacts_instr</vt:lpstr>
      <vt:lpstr>expectedImpacts_label</vt:lpstr>
      <vt:lpstr>fateList_instr</vt:lpstr>
      <vt:lpstr>fateList_label</vt:lpstr>
      <vt:lpstr>fateList_tinstr</vt:lpstr>
      <vt:lpstr>fateReasons_instr</vt:lpstr>
      <vt:lpstr>fateReasons_label</vt:lpstr>
      <vt:lpstr>field1_label</vt:lpstr>
      <vt:lpstr>field2_label</vt:lpstr>
      <vt:lpstr>field3_label</vt:lpstr>
      <vt:lpstr>field4_label</vt:lpstr>
      <vt:lpstr>field5_label</vt:lpstr>
      <vt:lpstr>fill_all_cells_mssg</vt:lpstr>
      <vt:lpstr>forensic_label</vt:lpstr>
      <vt:lpstr>ICD_code_instr</vt:lpstr>
      <vt:lpstr>ICD_code_label</vt:lpstr>
      <vt:lpstr>ICD_code_tinstr</vt:lpstr>
      <vt:lpstr>inconsistent_value_mssg</vt:lpstr>
      <vt:lpstr>internal_national_field_1_label</vt:lpstr>
      <vt:lpstr>internal_national_field_2_label</vt:lpstr>
      <vt:lpstr>Internal_national_field_3_label</vt:lpstr>
      <vt:lpstr>keyword_label</vt:lpstr>
      <vt:lpstr>keyword_tinstr</vt:lpstr>
      <vt:lpstr>keywords_label</vt:lpstr>
      <vt:lpstr>language</vt:lpstr>
      <vt:lpstr>language_label</vt:lpstr>
      <vt:lpstr>language_or_default</vt:lpstr>
      <vt:lpstr>languages</vt:lpstr>
      <vt:lpstr>maintenance_label</vt:lpstr>
      <vt:lpstr>maxLength_100_tinstr</vt:lpstr>
      <vt:lpstr>maxLength_2500_tinstr</vt:lpstr>
      <vt:lpstr>maxLength_50_tinstr</vt:lpstr>
      <vt:lpstr>maxLength_500_tinstr</vt:lpstr>
      <vt:lpstr>mild_label</vt:lpstr>
      <vt:lpstr>moderate_label</vt:lpstr>
      <vt:lpstr>nhpUse_label</vt:lpstr>
      <vt:lpstr>no</vt:lpstr>
      <vt:lpstr>nonRecovery_label</vt:lpstr>
      <vt:lpstr>not_applicable_mssg</vt:lpstr>
      <vt:lpstr>not_published_instr</vt:lpstr>
      <vt:lpstr>NTS_title</vt:lpstr>
      <vt:lpstr>ntsId_instr</vt:lpstr>
      <vt:lpstr>ntsId_label</vt:lpstr>
      <vt:lpstr>ntsId_tinstr</vt:lpstr>
      <vt:lpstr>ntsNationalId_instr</vt:lpstr>
      <vt:lpstr>ntsNationalId_label</vt:lpstr>
      <vt:lpstr>ntsPreviousVersionExternalLink_instr</vt:lpstr>
      <vt:lpstr>ntsPreviousVersionExternalLink_label</vt:lpstr>
      <vt:lpstr>numbers_per_fate_label</vt:lpstr>
      <vt:lpstr>numbers_per_severity_label</vt:lpstr>
      <vt:lpstr>objectives_and_benefits_label</vt:lpstr>
      <vt:lpstr>other_label</vt:lpstr>
      <vt:lpstr>otherExplanation_label</vt:lpstr>
      <vt:lpstr>potentialBenefits_instr</vt:lpstr>
      <vt:lpstr>potentialBenefits_label</vt:lpstr>
      <vt:lpstr>predicted_harms_label</vt:lpstr>
      <vt:lpstr>preservation_label</vt:lpstr>
      <vt:lpstr>procedures_instr</vt:lpstr>
      <vt:lpstr>procedures_label</vt:lpstr>
      <vt:lpstr>project_approval_date</vt:lpstr>
      <vt:lpstr>project_selected_for_ra_label</vt:lpstr>
      <vt:lpstr>project_start_end_date</vt:lpstr>
      <vt:lpstr>projectApprovalDate_label</vt:lpstr>
      <vt:lpstr>projectDuration_instr</vt:lpstr>
      <vt:lpstr>projectDuration_label</vt:lpstr>
      <vt:lpstr>projectDuration_tinstr</vt:lpstr>
      <vt:lpstr>projectEndDate_label</vt:lpstr>
      <vt:lpstr>projectObjectives_instr</vt:lpstr>
      <vt:lpstr>projectObjectives_label</vt:lpstr>
      <vt:lpstr>projectPurposes_label</vt:lpstr>
      <vt:lpstr>projectPurposes_tinstr</vt:lpstr>
      <vt:lpstr>projectStartDate_label</vt:lpstr>
      <vt:lpstr>projectTitle_label</vt:lpstr>
      <vt:lpstr>protection_label</vt:lpstr>
      <vt:lpstr>purposeCategories</vt:lpstr>
      <vt:lpstr>purposeCategoryTranslations</vt:lpstr>
      <vt:lpstr>purposeCode</vt:lpstr>
      <vt:lpstr>purposeShown</vt:lpstr>
      <vt:lpstr>purposeTranslations</vt:lpstr>
      <vt:lpstr>qualityControl_label</vt:lpstr>
      <vt:lpstr>ra_reasons_label</vt:lpstr>
      <vt:lpstr>raDeadline_label</vt:lpstr>
      <vt:lpstr>raSelected_label</vt:lpstr>
      <vt:lpstr>reduction_instr</vt:lpstr>
      <vt:lpstr>reduction_label</vt:lpstr>
      <vt:lpstr>refinement_instr</vt:lpstr>
      <vt:lpstr>refinement_label</vt:lpstr>
      <vt:lpstr>rehomed_label</vt:lpstr>
      <vt:lpstr>replacement_instr</vt:lpstr>
      <vt:lpstr>replacement_label</vt:lpstr>
      <vt:lpstr>returned_label</vt:lpstr>
      <vt:lpstr>reused_label</vt:lpstr>
      <vt:lpstr>routineProduction_label</vt:lpstr>
      <vt:lpstr>select_species_mssg</vt:lpstr>
      <vt:lpstr>selection_for_RA</vt:lpstr>
      <vt:lpstr>severe_label</vt:lpstr>
      <vt:lpstr>severeProcedure_label</vt:lpstr>
      <vt:lpstr>species_label</vt:lpstr>
      <vt:lpstr>speciesChoiceExplanation_label</vt:lpstr>
      <vt:lpstr>speciesCode</vt:lpstr>
      <vt:lpstr>speciesShown</vt:lpstr>
      <vt:lpstr>speciesTranslated</vt:lpstr>
      <vt:lpstr>speciesTranslations</vt:lpstr>
      <vt:lpstr>template_version</vt:lpstr>
      <vt:lpstr>text</vt:lpstr>
      <vt:lpstr>textTranslations</vt:lpstr>
      <vt:lpstr>to_be_filled_in_by_authority_mssg</vt:lpstr>
      <vt:lpstr>total_number_label</vt:lpstr>
      <vt:lpstr>total_number_mssg</vt:lpstr>
      <vt:lpstr>toxicityTesting_label</vt:lpstr>
      <vt:lpstr>training_label</vt:lpstr>
      <vt:lpstr>translationalResearch_label</vt:lpstr>
      <vt:lpstr>yes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dmarijancic</dc:creator>
  <cp:lastModifiedBy>MARIJANCIC Darko (ENV-EXT)</cp:lastModifiedBy>
  <dcterms:created xsi:type="dcterms:W3CDTF">2020-03-26T19:58:53Z</dcterms:created>
  <dcterms:modified xsi:type="dcterms:W3CDTF">2020-10-02T12:24:46Z</dcterms:modified>
</cp:coreProperties>
</file>